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ate1904="1"/>
  <mc:AlternateContent xmlns:mc="http://schemas.openxmlformats.org/markup-compatibility/2006">
    <mc:Choice Requires="x15">
      <x15ac:absPath xmlns:x15ac="http://schemas.microsoft.com/office/spreadsheetml/2010/11/ac" url="https://winrockintl-my.sharepoint.com/personal/kelsey_vergin_winrock_org/Documents/CoP/Resources/"/>
    </mc:Choice>
  </mc:AlternateContent>
  <xr:revisionPtr revIDLastSave="0" documentId="8_{17C603F4-A1AC-40DC-9BCD-FB10672D872D}" xr6:coauthVersionLast="44" xr6:coauthVersionMax="44" xr10:uidLastSave="{00000000-0000-0000-0000-000000000000}"/>
  <bookViews>
    <workbookView xWindow="-120" yWindow="-120" windowWidth="29040" windowHeight="17640" xr2:uid="{00000000-000D-0000-FFFF-FFFF00000000}"/>
  </bookViews>
  <sheets>
    <sheet name="Cow-Calf" sheetId="2" r:id="rId1"/>
    <sheet name="Stocker" sheetId="11" r:id="rId2"/>
    <sheet name="Finishing" sheetId="3" r:id="rId3"/>
    <sheet name="Direct Market" sheetId="5" r:id="rId4"/>
    <sheet name="Cash Flow YR1" sheetId="6" r:id="rId5"/>
    <sheet name="Cash Flow YR2" sheetId="12" r:id="rId6"/>
    <sheet name="Cash Flow YR3" sheetId="13" r:id="rId7"/>
    <sheet name="Cash Flow YR4" sheetId="14" r:id="rId8"/>
    <sheet name="Cash Flow YR5" sheetId="15" r:id="rId9"/>
    <sheet name="Value Calculator" sheetId="16" r:id="rId10"/>
  </sheets>
  <definedNames>
    <definedName name="_xlnm.Print_Area" localSheetId="4">'Cash Flow YR1'!$A$1:$F$29</definedName>
    <definedName name="_xlnm.Print_Area" localSheetId="5">'Cash Flow YR2'!$A$1:$F$30</definedName>
    <definedName name="_xlnm.Print_Area" localSheetId="6">'Cash Flow YR3'!$A$1:$F$30</definedName>
    <definedName name="_xlnm.Print_Area" localSheetId="7">'Cash Flow YR4'!$A$1:$F$29</definedName>
    <definedName name="_xlnm.Print_Area" localSheetId="0">'Cow-Calf'!$A$1:$C$37</definedName>
    <definedName name="_xlnm.Print_Area" localSheetId="1">Stocker!$A$1:$C$37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5" l="1"/>
  <c r="B10" i="15" s="1"/>
  <c r="C38" i="5"/>
  <c r="C49" i="5" s="1"/>
  <c r="E49" i="5" s="1"/>
  <c r="B29" i="5"/>
  <c r="B8" i="14"/>
  <c r="B8" i="13"/>
  <c r="B9" i="13" s="1"/>
  <c r="D9" i="13" s="1"/>
  <c r="B11" i="15"/>
  <c r="B10" i="14"/>
  <c r="B10" i="13"/>
  <c r="B10" i="12"/>
  <c r="B8" i="12"/>
  <c r="B9" i="12" s="1"/>
  <c r="D9" i="12" s="1"/>
  <c r="B10" i="6"/>
  <c r="B8" i="6"/>
  <c r="B9" i="6" s="1"/>
  <c r="D9" i="6" s="1"/>
  <c r="F21" i="16"/>
  <c r="G21" i="16" s="1"/>
  <c r="I21" i="16" s="1"/>
  <c r="M21" i="16" s="1"/>
  <c r="D21" i="16"/>
  <c r="H12" i="16"/>
  <c r="I14" i="16" s="1"/>
  <c r="J14" i="16" s="1"/>
  <c r="I16" i="16"/>
  <c r="J16" i="16" s="1"/>
  <c r="I15" i="16"/>
  <c r="J15" i="16" s="1"/>
  <c r="I13" i="16"/>
  <c r="J13" i="16" s="1"/>
  <c r="G7" i="16"/>
  <c r="H7" i="16" s="1"/>
  <c r="J7" i="16" s="1"/>
  <c r="D7" i="16"/>
  <c r="G5" i="16"/>
  <c r="H5" i="16" s="1"/>
  <c r="J5" i="16" s="1"/>
  <c r="D5" i="16"/>
  <c r="B12" i="15"/>
  <c r="D12" i="15" s="1"/>
  <c r="B11" i="14"/>
  <c r="D11" i="14" s="1"/>
  <c r="B11" i="13"/>
  <c r="D11" i="13" s="1"/>
  <c r="B11" i="12"/>
  <c r="D11" i="12" s="1"/>
  <c r="B11" i="6"/>
  <c r="D11" i="6" s="1"/>
  <c r="E11" i="15"/>
  <c r="E10" i="14"/>
  <c r="E10" i="13"/>
  <c r="E10" i="12"/>
  <c r="E10" i="6"/>
  <c r="B6" i="11"/>
  <c r="B6" i="3"/>
  <c r="C15" i="15" s="1"/>
  <c r="D15" i="15" s="1"/>
  <c r="D16" i="15"/>
  <c r="B17" i="15"/>
  <c r="B22" i="15" s="1"/>
  <c r="B23" i="15" s="1"/>
  <c r="E13" i="15"/>
  <c r="B7" i="5"/>
  <c r="B9" i="5"/>
  <c r="B11" i="5"/>
  <c r="E12" i="14"/>
  <c r="E12" i="13"/>
  <c r="E12" i="12"/>
  <c r="B32" i="11"/>
  <c r="E13" i="14" s="1"/>
  <c r="F13" i="14" s="1"/>
  <c r="E12" i="6"/>
  <c r="B9" i="11"/>
  <c r="B12" i="11"/>
  <c r="B14" i="11" s="1"/>
  <c r="B35" i="11" s="1"/>
  <c r="B19" i="11"/>
  <c r="B23" i="11"/>
  <c r="B18" i="2"/>
  <c r="B17" i="5"/>
  <c r="B21" i="5"/>
  <c r="D15" i="6"/>
  <c r="B16" i="6"/>
  <c r="B21" i="6" s="1"/>
  <c r="B23" i="2"/>
  <c r="B21" i="2"/>
  <c r="B24" i="2" s="1"/>
  <c r="D36" i="5"/>
  <c r="E36" i="5" s="1"/>
  <c r="B8" i="3"/>
  <c r="B10" i="3"/>
  <c r="B17" i="3"/>
  <c r="B21" i="3"/>
  <c r="B30" i="3"/>
  <c r="E21" i="12" s="1"/>
  <c r="B13" i="2"/>
  <c r="B34" i="2"/>
  <c r="D15" i="12"/>
  <c r="B16" i="12"/>
  <c r="B21" i="12" s="1"/>
  <c r="B22" i="12" s="1"/>
  <c r="D15" i="13"/>
  <c r="B16" i="13"/>
  <c r="B21" i="13" s="1"/>
  <c r="B22" i="13" s="1"/>
  <c r="D15" i="14"/>
  <c r="B16" i="14"/>
  <c r="B21" i="14" s="1"/>
  <c r="B22" i="14" s="1"/>
  <c r="K7" i="16" l="1"/>
  <c r="L7" i="16" s="1"/>
  <c r="K5" i="16"/>
  <c r="L5" i="16" s="1"/>
  <c r="N23" i="16"/>
  <c r="O23" i="16" s="1"/>
  <c r="N24" i="16"/>
  <c r="O24" i="16" s="1"/>
  <c r="N22" i="16"/>
  <c r="O22" i="16" s="1"/>
  <c r="N21" i="16"/>
  <c r="O21" i="16" s="1"/>
  <c r="F11" i="15"/>
  <c r="F10" i="14"/>
  <c r="F10" i="12"/>
  <c r="B24" i="11"/>
  <c r="B25" i="11" s="1"/>
  <c r="B22" i="3"/>
  <c r="B23" i="3" s="1"/>
  <c r="B26" i="3" s="1"/>
  <c r="C14" i="6"/>
  <c r="D14" i="6" s="1"/>
  <c r="C14" i="12"/>
  <c r="D14" i="12" s="1"/>
  <c r="B12" i="3"/>
  <c r="B34" i="3" s="1"/>
  <c r="E21" i="13"/>
  <c r="F21" i="13" s="1"/>
  <c r="E21" i="14"/>
  <c r="F21" i="14" s="1"/>
  <c r="E21" i="6"/>
  <c r="F21" i="6" s="1"/>
  <c r="E22" i="15"/>
  <c r="F22" i="15" s="1"/>
  <c r="F10" i="6"/>
  <c r="B12" i="6"/>
  <c r="F12" i="6" s="1"/>
  <c r="E38" i="5"/>
  <c r="E39" i="5" s="1"/>
  <c r="B22" i="5"/>
  <c r="B23" i="5" s="1"/>
  <c r="B26" i="5" s="1"/>
  <c r="B30" i="5" s="1"/>
  <c r="B13" i="5"/>
  <c r="B31" i="5" s="1"/>
  <c r="C40" i="5"/>
  <c r="B13" i="15"/>
  <c r="F13" i="15" s="1"/>
  <c r="D10" i="15"/>
  <c r="B12" i="12"/>
  <c r="B9" i="14"/>
  <c r="D9" i="14" s="1"/>
  <c r="F10" i="13"/>
  <c r="B22" i="6"/>
  <c r="F12" i="12"/>
  <c r="F21" i="12"/>
  <c r="C14" i="13"/>
  <c r="D14" i="13" s="1"/>
  <c r="C14" i="14"/>
  <c r="D14" i="14" s="1"/>
  <c r="E13" i="6"/>
  <c r="F13" i="6" s="1"/>
  <c r="E13" i="13"/>
  <c r="F13" i="13" s="1"/>
  <c r="E14" i="15"/>
  <c r="F14" i="15" s="1"/>
  <c r="B12" i="13"/>
  <c r="F12" i="13" s="1"/>
  <c r="E13" i="12"/>
  <c r="F13" i="12" s="1"/>
  <c r="B31" i="2"/>
  <c r="B25" i="2"/>
  <c r="B32" i="5" l="1"/>
  <c r="F18" i="15"/>
  <c r="B28" i="11"/>
  <c r="B29" i="11"/>
  <c r="C13" i="14" s="1"/>
  <c r="D13" i="14" s="1"/>
  <c r="F17" i="6"/>
  <c r="C41" i="5"/>
  <c r="E40" i="5"/>
  <c r="B12" i="14"/>
  <c r="F12" i="14" s="1"/>
  <c r="F17" i="14" s="1"/>
  <c r="F17" i="13"/>
  <c r="F17" i="12"/>
  <c r="H26" i="3"/>
  <c r="B32" i="3"/>
  <c r="B36" i="3" s="1"/>
  <c r="E45" i="5"/>
  <c r="B27" i="2"/>
  <c r="B28" i="2" s="1"/>
  <c r="C13" i="13" l="1"/>
  <c r="D13" i="13" s="1"/>
  <c r="C13" i="6"/>
  <c r="D13" i="6" s="1"/>
  <c r="C14" i="15"/>
  <c r="D14" i="15" s="1"/>
  <c r="C13" i="12"/>
  <c r="D13" i="12" s="1"/>
  <c r="B34" i="11"/>
  <c r="B37" i="11" s="1"/>
  <c r="C47" i="5"/>
  <c r="E47" i="5" s="1"/>
  <c r="E41" i="5"/>
  <c r="E44" i="5" s="1"/>
  <c r="E46" i="5" s="1"/>
  <c r="C22" i="15"/>
  <c r="D22" i="15" s="1"/>
  <c r="C21" i="14"/>
  <c r="D21" i="14" s="1"/>
  <c r="C21" i="13"/>
  <c r="D21" i="13" s="1"/>
  <c r="C21" i="12"/>
  <c r="D21" i="12" s="1"/>
  <c r="C21" i="6"/>
  <c r="D21" i="6" s="1"/>
  <c r="C7" i="14"/>
  <c r="D7" i="14" s="1"/>
  <c r="D17" i="14" s="1"/>
  <c r="C7" i="13"/>
  <c r="D7" i="13" s="1"/>
  <c r="C7" i="12"/>
  <c r="D7" i="12" s="1"/>
  <c r="B29" i="2"/>
  <c r="C8" i="15"/>
  <c r="D8" i="15" s="1"/>
  <c r="C7" i="6"/>
  <c r="D7" i="6" s="1"/>
  <c r="D17" i="6" s="1"/>
  <c r="D17" i="13" l="1"/>
  <c r="D17" i="12"/>
  <c r="D30" i="12" s="1"/>
  <c r="E30" i="12" s="1"/>
  <c r="D18" i="15"/>
  <c r="D31" i="15" s="1"/>
  <c r="E31" i="15" s="1"/>
  <c r="C20" i="6"/>
  <c r="D20" i="6" s="1"/>
  <c r="D23" i="6" s="1"/>
  <c r="E51" i="5"/>
  <c r="E48" i="5"/>
  <c r="E20" i="13"/>
  <c r="F20" i="13" s="1"/>
  <c r="F23" i="13" s="1"/>
  <c r="E20" i="6"/>
  <c r="F20" i="6" s="1"/>
  <c r="F23" i="6" s="1"/>
  <c r="E20" i="12"/>
  <c r="F20" i="12" s="1"/>
  <c r="F23" i="12" s="1"/>
  <c r="E21" i="15"/>
  <c r="F21" i="15" s="1"/>
  <c r="F24" i="15" s="1"/>
  <c r="E20" i="14"/>
  <c r="F20" i="14" s="1"/>
  <c r="F23" i="14" s="1"/>
  <c r="C21" i="15"/>
  <c r="D21" i="15" s="1"/>
  <c r="D24" i="15" s="1"/>
  <c r="D29" i="6"/>
  <c r="E29" i="6" s="1"/>
  <c r="D30" i="13"/>
  <c r="E30" i="13" s="1"/>
  <c r="D29" i="14"/>
  <c r="E29" i="14" s="1"/>
  <c r="B30" i="2"/>
  <c r="B35" i="2"/>
  <c r="B37" i="2" s="1"/>
  <c r="C20" i="12" l="1"/>
  <c r="D20" i="12" s="1"/>
  <c r="D23" i="12" s="1"/>
  <c r="F25" i="12" s="1"/>
  <c r="F27" i="12" s="1"/>
  <c r="C20" i="13"/>
  <c r="D20" i="13" s="1"/>
  <c r="D23" i="13" s="1"/>
  <c r="F25" i="13" s="1"/>
  <c r="F27" i="13" s="1"/>
  <c r="C20" i="14"/>
  <c r="D20" i="14" s="1"/>
  <c r="D23" i="14" s="1"/>
  <c r="F24" i="14" s="1"/>
  <c r="F24" i="6"/>
  <c r="F26" i="6" s="1"/>
  <c r="F26" i="15"/>
  <c r="F28" i="15" s="1"/>
  <c r="F26" i="13" l="1"/>
  <c r="F25" i="6"/>
  <c r="F25" i="14"/>
  <c r="F26" i="14"/>
  <c r="F26" i="12"/>
  <c r="F27" i="15"/>
</calcChain>
</file>

<file path=xl/sharedStrings.xml><?xml version="1.0" encoding="utf-8"?>
<sst xmlns="http://schemas.openxmlformats.org/spreadsheetml/2006/main" count="495" uniqueCount="225">
  <si>
    <t>Total cost - calf</t>
  </si>
  <si>
    <t>Finished weight</t>
  </si>
  <si>
    <t>Average wt from weaning to finish</t>
  </si>
  <si>
    <t>Days from wean to finish</t>
  </si>
  <si>
    <t>DM total wean to finish (tons)</t>
  </si>
  <si>
    <t>Total cost</t>
  </si>
  <si>
    <t xml:space="preserve">Price per pound </t>
  </si>
  <si>
    <t>Margin $</t>
  </si>
  <si>
    <t>Return per acre</t>
  </si>
  <si>
    <t xml:space="preserve">Cost per cwt </t>
  </si>
  <si>
    <t>Calf weaning rate</t>
  </si>
  <si>
    <t>Cow replacement rate</t>
  </si>
  <si>
    <t>Average weight of cow</t>
  </si>
  <si>
    <t>Price for sale of cull cows ($/lb)</t>
  </si>
  <si>
    <t>Weight of weaned calf</t>
  </si>
  <si>
    <t xml:space="preserve">Cost of harvested forage* </t>
  </si>
  <si>
    <t>Storage/feeding waste - harvested forage</t>
  </si>
  <si>
    <t>Cost per ton of DM consumed</t>
  </si>
  <si>
    <t>Cost per acre of pasture*</t>
  </si>
  <si>
    <t xml:space="preserve">DM yield Available  - Pasture </t>
  </si>
  <si>
    <t xml:space="preserve">Waste on pasture </t>
  </si>
  <si>
    <t>Cost per ton of pasture DM consumed</t>
  </si>
  <si>
    <t>Days on Pasture</t>
  </si>
  <si>
    <t>Days on Harvested Forage</t>
  </si>
  <si>
    <t>Average daily DM intake rate - cow/calf</t>
  </si>
  <si>
    <t>DM from Pasture (tons)</t>
  </si>
  <si>
    <t>DM from Harvested Forage (tons)</t>
  </si>
  <si>
    <t>Non-feed cost 35% of total cost</t>
  </si>
  <si>
    <t>Cost of cow/calf</t>
  </si>
  <si>
    <t xml:space="preserve">Cost of calf after production efficiencies  </t>
  </si>
  <si>
    <t>Acres needed/head for producing one calf (Harvested Forage + Pasture)</t>
  </si>
  <si>
    <t>Cost per pound of calf produced</t>
  </si>
  <si>
    <t>Market price of calf ($/lb)</t>
  </si>
  <si>
    <t>Total revenue</t>
  </si>
  <si>
    <t>ADG (Average Daily Gain) Lbs</t>
  </si>
  <si>
    <t>Depends on quality of feed, pasture management and breed.</t>
  </si>
  <si>
    <t>Days on pasture depends on pasture management.</t>
  </si>
  <si>
    <t>Per cent of cow herd removed and replaced each year. Cost of replacements included below.</t>
  </si>
  <si>
    <t>This result depends on days on pasture.</t>
  </si>
  <si>
    <t>Based on days on pasture and daily intake.</t>
  </si>
  <si>
    <t>Based on days on harvested forage and daily intake.</t>
  </si>
  <si>
    <t>Addition of feed and non-feed costs.</t>
  </si>
  <si>
    <t>Total theoretical cost adjusted for production efficiencies in top section.</t>
  </si>
  <si>
    <t>Total cost of calf divided by live weight of calf weaned.</t>
  </si>
  <si>
    <t xml:space="preserve">Intake as per cent of animals' weight. </t>
  </si>
  <si>
    <t>Market price per pound times weight of weaned calf.</t>
  </si>
  <si>
    <t>Margin dollars divided by acres needed.</t>
  </si>
  <si>
    <t>Price per pound times weight of calf.</t>
  </si>
  <si>
    <t>Weight of calf</t>
  </si>
  <si>
    <t xml:space="preserve">Assumes equal time on pasture and harvested forage. </t>
  </si>
  <si>
    <t>Average of cost of DM pasture and hay.</t>
  </si>
  <si>
    <t>Daily DM (Dry Matter) intake</t>
  </si>
  <si>
    <t xml:space="preserve">Yield DM per acre - harvested forage </t>
  </si>
  <si>
    <t>Non-feed cost</t>
  </si>
  <si>
    <t>Addition of cost of calf, cost of feed and cost of non-feed.</t>
  </si>
  <si>
    <t>Total Revenue</t>
  </si>
  <si>
    <t>Based on 58% carcass yield versus live weight.</t>
  </si>
  <si>
    <t>Cost of Farm-grown Feed for Cow/calf</t>
  </si>
  <si>
    <t>Cost of purchased feed</t>
  </si>
  <si>
    <t>Total cost of farm-grown feed in finishing phase</t>
  </si>
  <si>
    <t>Purchased feed</t>
  </si>
  <si>
    <t>Estimated from university studies comparing storage systems.</t>
  </si>
  <si>
    <t>Estimated from university studies and depending on grazing methods.</t>
  </si>
  <si>
    <t>Actual feed or feed supplements.</t>
  </si>
  <si>
    <t>Total revenue from sale of calf minus cost from above.</t>
  </si>
  <si>
    <t>Cow Calf Production</t>
  </si>
  <si>
    <t>Feeder to Finish - Branded Program</t>
  </si>
  <si>
    <t>Feeder to Finish - Direct Market</t>
  </si>
  <si>
    <t>Industry average is about 90%.</t>
  </si>
  <si>
    <t xml:space="preserve">Estimated Yield in tons per acre. </t>
  </si>
  <si>
    <t>Estimated from university studies comparing forage storage systems.</t>
  </si>
  <si>
    <t xml:space="preserve">Estimated Yield in tons per acre.  </t>
  </si>
  <si>
    <t>Post-Harvest Costs</t>
  </si>
  <si>
    <t>Pre-Harvest Costs</t>
  </si>
  <si>
    <t>Transport to Plant</t>
  </si>
  <si>
    <t>Total</t>
  </si>
  <si>
    <t>Slaughter</t>
  </si>
  <si>
    <t>Fabrication - Cut &amp; Wrap - Retail Ready</t>
  </si>
  <si>
    <t>Cold Storage</t>
  </si>
  <si>
    <t>Retail Beef Transport</t>
  </si>
  <si>
    <t>Total Processing</t>
  </si>
  <si>
    <t>Marketing &amp; Sales (labels, printing, promotion)</t>
  </si>
  <si>
    <t>Misc Costs</t>
  </si>
  <si>
    <t xml:space="preserve">Total Post- Harvest Cost </t>
  </si>
  <si>
    <t>Total Pre-Harvest Cost</t>
  </si>
  <si>
    <t>Target Sales Price (HCWT Basis)</t>
  </si>
  <si>
    <t>Net Profit</t>
  </si>
  <si>
    <t>No. Cows</t>
  </si>
  <si>
    <t>Item</t>
  </si>
  <si>
    <t>Cost</t>
  </si>
  <si>
    <t>Annual</t>
  </si>
  <si>
    <t>No.</t>
  </si>
  <si>
    <t>Bulls</t>
  </si>
  <si>
    <t>Pre-Harvest</t>
  </si>
  <si>
    <t>No. Calves (Born on Farm)</t>
  </si>
  <si>
    <t>Cull Cows (Annual cull rate 20%)</t>
  </si>
  <si>
    <t>No. Heifers Retained (20%)</t>
  </si>
  <si>
    <t>Born Calves (transferred from cow/calf herd to finishing)</t>
  </si>
  <si>
    <t>No. Calves Sold at weaning</t>
  </si>
  <si>
    <t>Cost/Unit (hd)</t>
  </si>
  <si>
    <t>Post-Harvest</t>
  </si>
  <si>
    <t>YEAR 1</t>
  </si>
  <si>
    <t>Sales/Unit (hd)</t>
  </si>
  <si>
    <t>Sales</t>
  </si>
  <si>
    <t>Costs</t>
  </si>
  <si>
    <t>Total Head finished</t>
  </si>
  <si>
    <t>Finished Calves (Slaughter, fab, marketing, ….) - No. sold Direct</t>
  </si>
  <si>
    <t>Finished Calves (Slaughter, fab, marketing, ….) - No. sold Branded</t>
  </si>
  <si>
    <t>Cost of Hay produced on farm. Labor included.</t>
  </si>
  <si>
    <t>Cost of pasture not including the cost of land. Labor included.</t>
  </si>
  <si>
    <t>Vet Meds, maintenance, equipment, labor, ….</t>
  </si>
  <si>
    <t>Cost of pasture not including the cost of land.  Labor included.</t>
  </si>
  <si>
    <t>YEAR 2</t>
  </si>
  <si>
    <t>YEAR 3</t>
  </si>
  <si>
    <t>YEAR 4</t>
  </si>
  <si>
    <t>YEAR 5</t>
  </si>
  <si>
    <t>5 YEAR CASH FLOW PROJECTION</t>
  </si>
  <si>
    <t>Cost of Hay produced on farm.  Including Labor.</t>
  </si>
  <si>
    <t>Vet Med, Maintenance, Equipment, labor, …..</t>
  </si>
  <si>
    <t>Purchased Calves (Feeders for finish - Total cost purchase)</t>
  </si>
  <si>
    <t>Total after morbidity and mortality (2%)</t>
  </si>
  <si>
    <t>ROI w/o Interest</t>
  </si>
  <si>
    <t>ROI @ 3.5% Interest</t>
  </si>
  <si>
    <t>Interest</t>
  </si>
  <si>
    <t>Period (Days)</t>
  </si>
  <si>
    <t>Per Day Cost</t>
  </si>
  <si>
    <t>Total Interest</t>
  </si>
  <si>
    <t>Stocker Program</t>
  </si>
  <si>
    <t>Purchased Calves (Stocker to Feeder)</t>
  </si>
  <si>
    <t>Weight of calf at time of purchase</t>
  </si>
  <si>
    <t xml:space="preserve">Price to purchase </t>
  </si>
  <si>
    <t>Total Cost Less Calf Purchase</t>
  </si>
  <si>
    <t>Wt</t>
  </si>
  <si>
    <t>Total/Hd</t>
  </si>
  <si>
    <t>Gain</t>
  </si>
  <si>
    <t>ADG</t>
  </si>
  <si>
    <t>Days</t>
  </si>
  <si>
    <t>Start</t>
  </si>
  <si>
    <t>End</t>
  </si>
  <si>
    <t>$/lb</t>
  </si>
  <si>
    <t>Total/hd</t>
  </si>
  <si>
    <t>Steer</t>
  </si>
  <si>
    <t>Heifer</t>
  </si>
  <si>
    <t>Net</t>
  </si>
  <si>
    <t>Margin</t>
  </si>
  <si>
    <t>Value</t>
  </si>
  <si>
    <t>Gain/Day</t>
  </si>
  <si>
    <t>Stockers</t>
  </si>
  <si>
    <t>Cows</t>
  </si>
  <si>
    <t>Weight</t>
  </si>
  <si>
    <t>Status</t>
  </si>
  <si>
    <t>Preg</t>
  </si>
  <si>
    <t>Stage</t>
  </si>
  <si>
    <t>Open</t>
  </si>
  <si>
    <t>Interval</t>
  </si>
  <si>
    <t>(Days)</t>
  </si>
  <si>
    <t>Bred</t>
  </si>
  <si>
    <t>1st</t>
  </si>
  <si>
    <t>2nd</t>
  </si>
  <si>
    <t>3rd</t>
  </si>
  <si>
    <t>Pair</t>
  </si>
  <si>
    <t>DIFF</t>
  </si>
  <si>
    <t xml:space="preserve">DIFF </t>
  </si>
  <si>
    <t>Sale</t>
  </si>
  <si>
    <t>Cull Cows (Annual cull rate 10%)</t>
  </si>
  <si>
    <t>No. Heifers Retained (25%)</t>
  </si>
  <si>
    <t>Transport units are in miles to processing plant.</t>
  </si>
  <si>
    <t>Per head kill fee.</t>
  </si>
  <si>
    <t>Estimated Dressing Percent</t>
  </si>
  <si>
    <t>Target Sales Price (Retail Yield Basis)</t>
  </si>
  <si>
    <t>Net Profit (Retail Yield Basis)</t>
  </si>
  <si>
    <t>Total Cost (with weaned calf opportunity cost included)</t>
  </si>
  <si>
    <t>Per pound processing fee based on Hot Carcass Weight (HCWT) in pounds.</t>
  </si>
  <si>
    <t>Based on actual Retail Yield after fabricating carcass = Sellable retail yield</t>
  </si>
  <si>
    <t>Net Profit (HCWT Yield Basis)</t>
  </si>
  <si>
    <t>Based on Price/lb for selling on HCWT basis</t>
  </si>
  <si>
    <t>Based on Price/lb for selling on retail yield basis</t>
  </si>
  <si>
    <t>Dressing Percent</t>
  </si>
  <si>
    <t>VARIABLE</t>
  </si>
  <si>
    <t>VALUE</t>
  </si>
  <si>
    <t>EXPLANATION</t>
  </si>
  <si>
    <t xml:space="preserve">Dry Matter (DM) yield per acre - harvested forage </t>
  </si>
  <si>
    <t xml:space="preserve">Dry Matter (DM) yield Available  - Pasture </t>
  </si>
  <si>
    <t>Shaded cells are populated with estimates derived from research and our knowledge of operations throughout the Midwest.  If you have other estimates or numbers for your operation, please enter them into the shaded boxes.   White cells will calculate based on the inputs in each shaded cell.</t>
  </si>
  <si>
    <t>Acres needed/head (pasture &amp; harvested forage)</t>
  </si>
  <si>
    <t>To purchase from the Cow-Calf operation.</t>
  </si>
  <si>
    <t xml:space="preserve">Assumes equal time on pasture/harvested forage. </t>
  </si>
  <si>
    <t>Average of cost of DM pasture &amp; hay</t>
  </si>
  <si>
    <t>Based on 58% carcass yield vs live weight.</t>
  </si>
  <si>
    <t>Total revenue minus total cost</t>
  </si>
  <si>
    <t>Market price/lb of hot carcass weight.</t>
  </si>
  <si>
    <t>At time of purchase or from Cow-Calf operation</t>
  </si>
  <si>
    <t>Varies- quality of feed, pasture management, breed.</t>
  </si>
  <si>
    <t>Cost of calf, cost of feed and cost of non-feed sum</t>
  </si>
  <si>
    <t>Estimated from university studies/depending on grazing methods.</t>
  </si>
  <si>
    <t>Acres/head</t>
  </si>
  <si>
    <t>pasture &amp; harvested forage</t>
  </si>
  <si>
    <t>Total cost farm grown feed, finishing phase</t>
  </si>
  <si>
    <t>Market price per pound of hot carcass weight (Selling to Branded Program).</t>
  </si>
  <si>
    <t>Margin dollars divided by acres needed (If sold to a branded program and not direct marketed).</t>
  </si>
  <si>
    <t>Acres needed/head</t>
  </si>
  <si>
    <t xml:space="preserve"> (pasture and harvested forage)</t>
  </si>
  <si>
    <t xml:space="preserve">Price to purchase or cost from the Cow-Calf </t>
  </si>
  <si>
    <t>Period (days)</t>
  </si>
  <si>
    <t>Purchase Weight</t>
  </si>
  <si>
    <t>Replacement Heifers</t>
  </si>
  <si>
    <t>Lb</t>
  </si>
  <si>
    <t>Gain/ Day</t>
  </si>
  <si>
    <t>UNIT COST</t>
  </si>
  <si>
    <t>TOTAL UNITS</t>
  </si>
  <si>
    <t>Vet Meds, maintenance, equipment,labor</t>
  </si>
  <si>
    <t xml:space="preserve">Cost of calf, feed, and non-feed sum. </t>
  </si>
  <si>
    <t>TOTAL</t>
  </si>
  <si>
    <t>Total revenue minus total cost from above (If sold to branded program and not direct)</t>
  </si>
  <si>
    <t>Total cost of farm-grown feed for finishing</t>
  </si>
  <si>
    <t>COST/ HEAD</t>
  </si>
  <si>
    <t>Price per pound X weight of calf (Cost of weaned calf sold from cow/calf enterprise to finishing enterprise).</t>
  </si>
  <si>
    <t>Cost of Hay produced on farm.  Includes labor.</t>
  </si>
  <si>
    <t>OVER VALUE / UNDER VALUE</t>
  </si>
  <si>
    <t>Preg Stage</t>
  </si>
  <si>
    <t>Interval (Days)</t>
  </si>
  <si>
    <t>Sale Total/hd</t>
  </si>
  <si>
    <t>Cost of pasture excluding land costs.  Including labor.</t>
  </si>
  <si>
    <t>Return per Acre</t>
  </si>
  <si>
    <t>Margin dollars divided by acres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</si>
</sst>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
    <numFmt numFmtId="167" formatCode="&quot;$&quot;#,##0"/>
    <numFmt numFmtId="168" formatCode="#,##0.0"/>
    <numFmt numFmtId="169" formatCode="0.0"/>
    <numFmt numFmtId="170" formatCode="0.0%"/>
    <numFmt numFmtId="171" formatCode="_([$$-409]* #,##0.00_);_([$$-409]* \(#,##0.00\);_([$$-409]* &quot;-&quot;??_);_(@_)"/>
  </numFmts>
  <fonts count="27">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9"/>
      <name val="Helvetica Neue"/>
    </font>
    <font>
      <b/>
      <sz val="10"/>
      <color indexed="9"/>
      <name val="Helvetica Neue"/>
    </font>
    <font>
      <sz val="8"/>
      <name val="Helvetica Neue"/>
    </font>
    <font>
      <sz val="11"/>
      <color indexed="8"/>
      <name val="Calibri"/>
      <family val="2"/>
      <scheme val="minor"/>
    </font>
    <font>
      <sz val="11"/>
      <name val="Calibri"/>
      <family val="2"/>
      <scheme val="minor"/>
    </font>
    <font>
      <sz val="11"/>
      <color indexed="9"/>
      <name val="Calibri"/>
      <family val="2"/>
      <scheme val="minor"/>
    </font>
    <font>
      <b/>
      <sz val="11"/>
      <color indexed="8"/>
      <name val="Calibri"/>
      <family val="2"/>
      <scheme val="minor"/>
    </font>
    <font>
      <b/>
      <u/>
      <sz val="11"/>
      <color indexed="8"/>
      <name val="Calibri"/>
      <family val="2"/>
      <scheme val="minor"/>
    </font>
    <font>
      <sz val="11"/>
      <color rgb="FFFF0000"/>
      <name val="Calibri"/>
      <family val="2"/>
      <scheme val="minor"/>
    </font>
    <font>
      <b/>
      <sz val="12"/>
      <color indexed="8"/>
      <name val="Calibri"/>
      <family val="2"/>
      <scheme val="minor"/>
    </font>
    <font>
      <b/>
      <sz val="11"/>
      <color indexed="9"/>
      <name val="Calibri"/>
      <family val="2"/>
      <scheme val="minor"/>
    </font>
    <font>
      <b/>
      <sz val="11"/>
      <name val="Calibri"/>
      <family val="2"/>
      <scheme val="minor"/>
    </font>
    <font>
      <sz val="11"/>
      <color indexed="8"/>
      <name val="Aparajita"/>
      <family val="2"/>
    </font>
    <font>
      <b/>
      <sz val="11"/>
      <color theme="3" tint="-0.499984740745262"/>
      <name val="Calibri"/>
      <family val="2"/>
      <scheme val="minor"/>
    </font>
    <font>
      <b/>
      <sz val="16"/>
      <color theme="1"/>
      <name val="Calibri"/>
      <family val="2"/>
      <scheme val="minor"/>
    </font>
    <font>
      <i/>
      <sz val="11"/>
      <name val="Calibri"/>
      <family val="2"/>
      <scheme val="minor"/>
    </font>
    <font>
      <i/>
      <sz val="11"/>
      <color indexed="8"/>
      <name val="Calibri"/>
      <family val="2"/>
      <scheme val="minor"/>
    </font>
    <font>
      <b/>
      <sz val="16"/>
      <color indexed="9"/>
      <name val="Calibri"/>
      <family val="2"/>
      <scheme val="minor"/>
    </font>
    <font>
      <b/>
      <sz val="10"/>
      <color indexed="9"/>
      <name val="Calibri"/>
      <family val="2"/>
      <scheme val="minor"/>
    </font>
    <font>
      <sz val="10"/>
      <color indexed="9"/>
      <name val="Calibri"/>
      <family val="2"/>
      <scheme val="minor"/>
    </font>
    <font>
      <u/>
      <sz val="11"/>
      <color indexed="8"/>
      <name val="Calibri"/>
      <family val="2"/>
      <scheme val="minor"/>
    </font>
    <font>
      <b/>
      <u val="singleAccounting"/>
      <sz val="11"/>
      <color indexed="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thin">
        <color indexed="64"/>
      </top>
      <bottom style="thin">
        <color indexed="64"/>
      </bottom>
      <diagonal/>
    </border>
  </borders>
  <cellStyleXfs count="3">
    <xf numFmtId="0" fontId="0" fillId="0" borderId="0" applyNumberFormat="0" applyFill="0" applyBorder="0" applyProtection="0">
      <alignment vertical="top"/>
    </xf>
    <xf numFmtId="44" fontId="5" fillId="0" borderId="0" applyFont="0" applyFill="0" applyBorder="0" applyAlignment="0" applyProtection="0"/>
    <xf numFmtId="9" fontId="5" fillId="0" borderId="0" applyFont="0" applyFill="0" applyBorder="0" applyAlignment="0" applyProtection="0"/>
  </cellStyleXfs>
  <cellXfs count="394">
    <xf numFmtId="0" fontId="0" fillId="0" borderId="0" xfId="0" applyAlignment="1"/>
    <xf numFmtId="0" fontId="6" fillId="0" borderId="0" xfId="0" applyNumberFormat="1" applyFont="1" applyFill="1" applyBorder="1" applyAlignment="1">
      <alignment horizontal="center" vertical="top" wrapText="1"/>
    </xf>
    <xf numFmtId="0" fontId="5" fillId="0" borderId="0" xfId="0" applyNumberFormat="1" applyFont="1" applyFill="1" applyBorder="1" applyAlignment="1">
      <alignment vertical="top"/>
    </xf>
    <xf numFmtId="0" fontId="0" fillId="0" borderId="0" xfId="0" applyBorder="1" applyAlignment="1"/>
    <xf numFmtId="0" fontId="0" fillId="0" borderId="0" xfId="0" applyFont="1" applyFill="1" applyBorder="1" applyAlignment="1"/>
    <xf numFmtId="0" fontId="8" fillId="0" borderId="1" xfId="0" applyFont="1" applyBorder="1" applyAlignment="1"/>
    <xf numFmtId="0" fontId="8" fillId="0" borderId="0" xfId="0" applyFont="1" applyAlignment="1"/>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2" borderId="0" xfId="0" applyFill="1" applyAlignment="1"/>
    <xf numFmtId="2" fontId="0" fillId="0" borderId="0" xfId="0" applyNumberFormat="1" applyBorder="1" applyAlignment="1"/>
    <xf numFmtId="0" fontId="0" fillId="0" borderId="0" xfId="0"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Fill="1" applyBorder="1" applyAlignment="1">
      <alignment horizontal="left"/>
    </xf>
    <xf numFmtId="0" fontId="17" fillId="0" borderId="0" xfId="0" applyFont="1" applyAlignment="1"/>
    <xf numFmtId="0" fontId="4" fillId="0" borderId="9" xfId="0" applyFont="1" applyBorder="1" applyAlignment="1"/>
    <xf numFmtId="0" fontId="8" fillId="0" borderId="14" xfId="0" applyFont="1" applyBorder="1" applyAlignment="1"/>
    <xf numFmtId="0" fontId="9" fillId="3" borderId="9" xfId="0" applyNumberFormat="1" applyFont="1" applyFill="1" applyBorder="1" applyAlignment="1">
      <alignment horizontal="left" wrapText="1"/>
    </xf>
    <xf numFmtId="0" fontId="8" fillId="3" borderId="14" xfId="0" applyFont="1" applyFill="1" applyBorder="1" applyAlignment="1"/>
    <xf numFmtId="0" fontId="9" fillId="0" borderId="9" xfId="0" applyNumberFormat="1" applyFont="1" applyFill="1" applyBorder="1" applyAlignment="1">
      <alignment horizontal="left" wrapText="1"/>
    </xf>
    <xf numFmtId="0" fontId="8" fillId="0" borderId="0" xfId="0" applyFont="1" applyBorder="1" applyAlignment="1"/>
    <xf numFmtId="0" fontId="8" fillId="0" borderId="16" xfId="0" applyFont="1" applyBorder="1" applyAlignment="1"/>
    <xf numFmtId="0" fontId="4" fillId="0" borderId="6" xfId="0" applyFont="1" applyBorder="1" applyAlignment="1"/>
    <xf numFmtId="0" fontId="4" fillId="0" borderId="1" xfId="0" applyFont="1" applyBorder="1" applyAlignment="1">
      <alignment horizontal="right"/>
    </xf>
    <xf numFmtId="169" fontId="4" fillId="0" borderId="1" xfId="0" applyNumberFormat="1" applyFont="1" applyBorder="1" applyAlignment="1">
      <alignment horizontal="right"/>
    </xf>
    <xf numFmtId="167" fontId="4" fillId="0" borderId="1" xfId="0" applyNumberFormat="1" applyFont="1" applyBorder="1" applyAlignment="1">
      <alignment horizontal="right"/>
    </xf>
    <xf numFmtId="0" fontId="8" fillId="0" borderId="14" xfId="0" applyFont="1" applyFill="1" applyBorder="1" applyAlignment="1"/>
    <xf numFmtId="167" fontId="9" fillId="0" borderId="1" xfId="0" applyNumberFormat="1" applyFont="1" applyFill="1" applyBorder="1" applyAlignment="1">
      <alignment horizontal="right"/>
    </xf>
    <xf numFmtId="0" fontId="20" fillId="0" borderId="9" xfId="0" applyNumberFormat="1" applyFont="1" applyFill="1" applyBorder="1" applyAlignment="1">
      <alignment horizontal="left" wrapText="1"/>
    </xf>
    <xf numFmtId="167" fontId="20" fillId="0" borderId="1" xfId="0" applyNumberFormat="1" applyFont="1" applyFill="1" applyBorder="1" applyAlignment="1">
      <alignment horizontal="right"/>
    </xf>
    <xf numFmtId="164" fontId="4" fillId="0" borderId="1" xfId="0" applyNumberFormat="1" applyFont="1" applyBorder="1" applyAlignment="1">
      <alignment horizontal="right"/>
    </xf>
    <xf numFmtId="0" fontId="8" fillId="0" borderId="9" xfId="0" applyFont="1" applyBorder="1" applyAlignment="1"/>
    <xf numFmtId="167" fontId="8" fillId="0" borderId="1" xfId="0" applyNumberFormat="1" applyFont="1" applyBorder="1" applyAlignment="1">
      <alignment horizontal="right"/>
    </xf>
    <xf numFmtId="0" fontId="8" fillId="0" borderId="0" xfId="0" applyFont="1" applyFill="1" applyAlignment="1"/>
    <xf numFmtId="0" fontId="0" fillId="0" borderId="0" xfId="0" applyFill="1" applyAlignment="1"/>
    <xf numFmtId="0" fontId="0" fillId="3" borderId="0" xfId="0" applyFill="1" applyBorder="1" applyAlignment="1">
      <alignment horizontal="left"/>
    </xf>
    <xf numFmtId="0" fontId="0" fillId="3" borderId="0" xfId="0" applyFill="1" applyAlignment="1"/>
    <xf numFmtId="0" fontId="0" fillId="3" borderId="0" xfId="0" applyFill="1" applyBorder="1" applyAlignment="1"/>
    <xf numFmtId="0" fontId="22" fillId="0" borderId="0" xfId="0" applyNumberFormat="1" applyFont="1" applyFill="1" applyBorder="1" applyAlignment="1">
      <alignment horizontal="left" vertical="top" wrapText="1"/>
    </xf>
    <xf numFmtId="165" fontId="10" fillId="0" borderId="1" xfId="0" applyNumberFormat="1" applyFont="1" applyFill="1" applyBorder="1" applyAlignment="1">
      <alignment horizontal="right" vertical="top" wrapText="1"/>
    </xf>
    <xf numFmtId="0" fontId="10" fillId="0" borderId="1" xfId="0" applyNumberFormat="1" applyFont="1" applyFill="1" applyBorder="1" applyAlignment="1">
      <alignment horizontal="right" vertical="top" wrapText="1"/>
    </xf>
    <xf numFmtId="0" fontId="8" fillId="0" borderId="0" xfId="0" applyFont="1" applyAlignment="1">
      <alignment wrapText="1"/>
    </xf>
    <xf numFmtId="3" fontId="10"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wrapText="1"/>
    </xf>
    <xf numFmtId="168" fontId="10" fillId="0" borderId="1" xfId="0" applyNumberFormat="1" applyFont="1" applyFill="1" applyBorder="1" applyAlignment="1">
      <alignment horizontal="right" vertical="center" wrapText="1"/>
    </xf>
    <xf numFmtId="0" fontId="8" fillId="0" borderId="1" xfId="0" applyFont="1" applyBorder="1" applyAlignment="1">
      <alignment horizontal="right" wrapText="1"/>
    </xf>
    <xf numFmtId="167" fontId="9" fillId="0" borderId="1" xfId="0" applyNumberFormat="1" applyFont="1" applyFill="1" applyBorder="1" applyAlignment="1">
      <alignment horizontal="right" wrapText="1"/>
    </xf>
    <xf numFmtId="167" fontId="10" fillId="0" borderId="1" xfId="0" applyNumberFormat="1" applyFont="1" applyFill="1" applyBorder="1" applyAlignment="1">
      <alignment horizontal="right" vertical="center" wrapText="1"/>
    </xf>
    <xf numFmtId="167" fontId="10" fillId="3" borderId="1" xfId="0" applyNumberFormat="1" applyFont="1" applyFill="1" applyBorder="1" applyAlignment="1">
      <alignment horizontal="right" vertical="center" wrapText="1"/>
    </xf>
    <xf numFmtId="167" fontId="15" fillId="0" borderId="1" xfId="0" applyNumberFormat="1" applyFont="1" applyFill="1" applyBorder="1" applyAlignment="1">
      <alignment horizontal="right" vertical="center" wrapText="1"/>
    </xf>
    <xf numFmtId="44" fontId="15" fillId="3" borderId="1" xfId="0" applyNumberFormat="1" applyFont="1" applyFill="1" applyBorder="1" applyAlignment="1">
      <alignment horizontal="right" vertical="center" wrapText="1"/>
    </xf>
    <xf numFmtId="169" fontId="4" fillId="0" borderId="1" xfId="0" applyNumberFormat="1" applyFont="1" applyBorder="1" applyAlignment="1">
      <alignment horizontal="right" vertical="center" wrapText="1"/>
    </xf>
    <xf numFmtId="165" fontId="10" fillId="0" borderId="1" xfId="0" applyNumberFormat="1" applyFont="1" applyFill="1" applyBorder="1" applyAlignment="1">
      <alignment horizontal="right" vertical="top"/>
    </xf>
    <xf numFmtId="3" fontId="10" fillId="0" borderId="1" xfId="0" applyNumberFormat="1" applyFont="1" applyFill="1" applyBorder="1" applyAlignment="1">
      <alignment horizontal="right" vertical="center"/>
    </xf>
    <xf numFmtId="168" fontId="10" fillId="0" borderId="1" xfId="0" applyNumberFormat="1" applyFont="1" applyFill="1" applyBorder="1" applyAlignment="1">
      <alignment horizontal="right" vertical="center"/>
    </xf>
    <xf numFmtId="0" fontId="8" fillId="0" borderId="1" xfId="0" applyFont="1" applyBorder="1" applyAlignment="1">
      <alignment horizontal="right"/>
    </xf>
    <xf numFmtId="167" fontId="10"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center"/>
    </xf>
    <xf numFmtId="44" fontId="15" fillId="0" borderId="1" xfId="0" applyNumberFormat="1" applyFont="1" applyFill="1" applyBorder="1" applyAlignment="1">
      <alignment horizontal="right" vertical="center"/>
    </xf>
    <xf numFmtId="0" fontId="23" fillId="0" borderId="0" xfId="0" applyNumberFormat="1" applyFont="1" applyFill="1" applyBorder="1" applyAlignment="1">
      <alignment horizontal="center" vertical="top" wrapText="1"/>
    </xf>
    <xf numFmtId="0" fontId="8" fillId="0" borderId="0" xfId="0" applyFont="1" applyAlignment="1">
      <alignment horizontal="left"/>
    </xf>
    <xf numFmtId="0" fontId="24" fillId="0" borderId="0" xfId="0" applyNumberFormat="1" applyFont="1" applyFill="1" applyBorder="1" applyAlignment="1">
      <alignment vertical="top"/>
    </xf>
    <xf numFmtId="0" fontId="8" fillId="2" borderId="0" xfId="0" applyFont="1" applyFill="1" applyAlignment="1"/>
    <xf numFmtId="0" fontId="8" fillId="0" borderId="0" xfId="0" applyFont="1" applyBorder="1" applyAlignment="1">
      <alignment horizontal="left"/>
    </xf>
    <xf numFmtId="167" fontId="11" fillId="0" borderId="0" xfId="0" applyNumberFormat="1" applyFont="1" applyBorder="1" applyAlignment="1"/>
    <xf numFmtId="0" fontId="8" fillId="0" borderId="0" xfId="0" applyFont="1" applyFill="1" applyBorder="1" applyAlignment="1">
      <alignment horizontal="left"/>
    </xf>
    <xf numFmtId="0" fontId="11" fillId="0" borderId="0" xfId="0" applyFont="1" applyAlignment="1"/>
    <xf numFmtId="0" fontId="14" fillId="0" borderId="0" xfId="0" applyFont="1" applyAlignment="1"/>
    <xf numFmtId="171" fontId="8" fillId="0" borderId="0" xfId="0" applyNumberFormat="1" applyFont="1" applyAlignment="1">
      <alignment horizontal="center"/>
    </xf>
    <xf numFmtId="0" fontId="8" fillId="0" borderId="6" xfId="0" applyFont="1" applyBorder="1" applyAlignment="1"/>
    <xf numFmtId="0" fontId="8" fillId="3" borderId="1" xfId="0" applyFont="1" applyFill="1" applyBorder="1" applyAlignment="1">
      <alignment horizontal="center"/>
    </xf>
    <xf numFmtId="0" fontId="8" fillId="0" borderId="1" xfId="0" applyFont="1" applyBorder="1" applyAlignment="1">
      <alignment horizontal="center"/>
    </xf>
    <xf numFmtId="171" fontId="8" fillId="0" borderId="1" xfId="0" applyNumberFormat="1" applyFont="1" applyBorder="1" applyAlignment="1">
      <alignment horizontal="center"/>
    </xf>
    <xf numFmtId="171" fontId="11" fillId="0" borderId="1" xfId="0" applyNumberFormat="1" applyFont="1" applyBorder="1" applyAlignment="1">
      <alignment horizontal="center"/>
    </xf>
    <xf numFmtId="0" fontId="11" fillId="0" borderId="1" xfId="0" applyFont="1" applyBorder="1" applyAlignment="1">
      <alignment horizontal="center"/>
    </xf>
    <xf numFmtId="44" fontId="8" fillId="0" borderId="1" xfId="1" applyFont="1" applyBorder="1" applyAlignment="1">
      <alignment horizontal="center"/>
    </xf>
    <xf numFmtId="1" fontId="8" fillId="3" borderId="1" xfId="0" applyNumberFormat="1" applyFont="1" applyFill="1" applyBorder="1" applyAlignment="1">
      <alignment horizontal="center"/>
    </xf>
    <xf numFmtId="1" fontId="11" fillId="0" borderId="1" xfId="0" applyNumberFormat="1" applyFont="1" applyBorder="1" applyAlignment="1">
      <alignment horizontal="center"/>
    </xf>
    <xf numFmtId="0" fontId="8" fillId="0" borderId="10" xfId="0" applyFont="1" applyBorder="1" applyAlignment="1"/>
    <xf numFmtId="0" fontId="8" fillId="0" borderId="11" xfId="0" applyFont="1" applyBorder="1" applyAlignment="1">
      <alignment horizontal="center"/>
    </xf>
    <xf numFmtId="171" fontId="8" fillId="0" borderId="11" xfId="0" applyNumberFormat="1" applyFont="1" applyBorder="1" applyAlignment="1">
      <alignment horizontal="center"/>
    </xf>
    <xf numFmtId="0" fontId="11" fillId="0" borderId="11" xfId="0" applyFont="1" applyBorder="1" applyAlignment="1">
      <alignment horizontal="center"/>
    </xf>
    <xf numFmtId="9" fontId="11" fillId="0" borderId="0" xfId="2" applyFont="1" applyAlignment="1">
      <alignment horizontal="center"/>
    </xf>
    <xf numFmtId="171" fontId="26" fillId="0" borderId="0" xfId="0" applyNumberFormat="1" applyFont="1" applyAlignment="1">
      <alignment horizontal="center"/>
    </xf>
    <xf numFmtId="10" fontId="8" fillId="0" borderId="0" xfId="2" applyNumberFormat="1" applyFont="1" applyAlignment="1">
      <alignment horizontal="center"/>
    </xf>
    <xf numFmtId="44" fontId="8" fillId="0" borderId="0" xfId="1" applyFont="1" applyAlignment="1">
      <alignment horizontal="center"/>
    </xf>
    <xf numFmtId="44" fontId="8" fillId="0" borderId="0" xfId="0" applyNumberFormat="1" applyFont="1" applyAlignment="1">
      <alignment horizontal="center"/>
    </xf>
    <xf numFmtId="0" fontId="8" fillId="0" borderId="0" xfId="0" applyFont="1" applyBorder="1" applyAlignment="1">
      <alignment horizontal="center"/>
    </xf>
    <xf numFmtId="0" fontId="12" fillId="0" borderId="0" xfId="0" applyFont="1" applyAlignment="1"/>
    <xf numFmtId="0" fontId="8" fillId="0" borderId="0" xfId="0" applyFont="1" applyAlignment="1">
      <alignment horizontal="left"/>
    </xf>
    <xf numFmtId="8" fontId="14" fillId="0" borderId="0" xfId="0" applyNumberFormat="1" applyFont="1" applyAlignment="1">
      <alignment horizontal="left"/>
    </xf>
    <xf numFmtId="0" fontId="11" fillId="0" borderId="0" xfId="0" applyFont="1" applyAlignment="1">
      <alignment horizontal="right"/>
    </xf>
    <xf numFmtId="0" fontId="8" fillId="5" borderId="1" xfId="0" applyFont="1" applyFill="1" applyBorder="1" applyAlignment="1">
      <alignment horizontal="center"/>
    </xf>
    <xf numFmtId="0" fontId="8" fillId="5" borderId="1" xfId="0" applyFont="1" applyFill="1" applyBorder="1" applyAlignment="1">
      <alignment horizontal="right"/>
    </xf>
    <xf numFmtId="171" fontId="8" fillId="0" borderId="1" xfId="0" applyNumberFormat="1" applyFont="1" applyBorder="1" applyAlignment="1">
      <alignment horizontal="right"/>
    </xf>
    <xf numFmtId="1" fontId="8" fillId="0" borderId="1" xfId="0" applyNumberFormat="1" applyFont="1" applyBorder="1" applyAlignment="1">
      <alignment horizontal="right"/>
    </xf>
    <xf numFmtId="171" fontId="8" fillId="5" borderId="1" xfId="0" applyNumberFormat="1" applyFont="1" applyFill="1" applyBorder="1" applyAlignment="1">
      <alignment horizontal="right"/>
    </xf>
    <xf numFmtId="44" fontId="8" fillId="0" borderId="1" xfId="1" applyFont="1" applyBorder="1" applyAlignment="1">
      <alignment horizontal="right"/>
    </xf>
    <xf numFmtId="1" fontId="8" fillId="3" borderId="1" xfId="0" applyNumberFormat="1" applyFont="1" applyFill="1" applyBorder="1" applyAlignment="1">
      <alignment horizontal="right"/>
    </xf>
    <xf numFmtId="0" fontId="11" fillId="0" borderId="1" xfId="0" applyFont="1" applyBorder="1" applyAlignment="1">
      <alignment horizontal="right"/>
    </xf>
    <xf numFmtId="171" fontId="11" fillId="0" borderId="1" xfId="0" applyNumberFormat="1" applyFont="1" applyBorder="1" applyAlignment="1">
      <alignment horizontal="right"/>
    </xf>
    <xf numFmtId="0" fontId="8" fillId="0" borderId="9" xfId="0" applyFont="1" applyBorder="1" applyAlignment="1">
      <alignment wrapText="1"/>
    </xf>
    <xf numFmtId="0" fontId="11" fillId="0" borderId="9" xfId="0" applyFont="1" applyBorder="1" applyAlignment="1">
      <alignment wrapText="1"/>
    </xf>
    <xf numFmtId="0" fontId="8" fillId="3" borderId="0" xfId="0" applyFont="1" applyFill="1" applyBorder="1" applyAlignment="1">
      <alignment horizontal="center"/>
    </xf>
    <xf numFmtId="171" fontId="11" fillId="3" borderId="0" xfId="0" applyNumberFormat="1" applyFont="1" applyFill="1" applyBorder="1" applyAlignment="1">
      <alignment horizontal="center"/>
    </xf>
    <xf numFmtId="0" fontId="11" fillId="3" borderId="0" xfId="0" applyFont="1" applyFill="1" applyBorder="1" applyAlignment="1">
      <alignment horizontal="center"/>
    </xf>
    <xf numFmtId="0" fontId="12" fillId="3" borderId="0" xfId="0" applyFont="1" applyFill="1" applyBorder="1" applyAlignment="1">
      <alignment horizontal="center"/>
    </xf>
    <xf numFmtId="171" fontId="12" fillId="3" borderId="0" xfId="0" applyNumberFormat="1" applyFont="1" applyFill="1" applyBorder="1" applyAlignment="1">
      <alignment horizontal="center"/>
    </xf>
    <xf numFmtId="171" fontId="8" fillId="3" borderId="0" xfId="0" applyNumberFormat="1" applyFont="1" applyFill="1" applyBorder="1" applyAlignment="1">
      <alignment horizontal="center"/>
    </xf>
    <xf numFmtId="44" fontId="8" fillId="3" borderId="0" xfId="1" applyFont="1" applyFill="1" applyBorder="1" applyAlignment="1">
      <alignment horizontal="center"/>
    </xf>
    <xf numFmtId="44" fontId="8" fillId="3" borderId="0" xfId="0" applyNumberFormat="1" applyFont="1" applyFill="1" applyBorder="1" applyAlignment="1">
      <alignment horizontal="center"/>
    </xf>
    <xf numFmtId="0" fontId="25" fillId="3" borderId="0" xfId="0" applyFont="1" applyFill="1" applyBorder="1" applyAlignment="1">
      <alignment horizontal="center"/>
    </xf>
    <xf numFmtId="44" fontId="11" fillId="3" borderId="0" xfId="1" applyFont="1" applyFill="1" applyBorder="1" applyAlignment="1">
      <alignment horizontal="center"/>
    </xf>
    <xf numFmtId="8" fontId="8" fillId="3" borderId="0" xfId="1" applyNumberFormat="1" applyFont="1" applyFill="1" applyBorder="1" applyAlignment="1">
      <alignment horizontal="center"/>
    </xf>
    <xf numFmtId="1" fontId="8" fillId="3" borderId="0" xfId="0" applyNumberFormat="1" applyFont="1" applyFill="1" applyBorder="1" applyAlignment="1">
      <alignment horizontal="center"/>
    </xf>
    <xf numFmtId="1" fontId="11" fillId="3" borderId="0" xfId="0" applyNumberFormat="1" applyFont="1" applyFill="1" applyBorder="1" applyAlignment="1">
      <alignment horizontal="center"/>
    </xf>
    <xf numFmtId="171" fontId="21" fillId="3" borderId="0" xfId="0" applyNumberFormat="1" applyFont="1" applyFill="1" applyBorder="1" applyAlignment="1">
      <alignment horizontal="left"/>
    </xf>
    <xf numFmtId="171" fontId="21" fillId="3" borderId="0" xfId="0" applyNumberFormat="1" applyFont="1" applyFill="1" applyBorder="1" applyAlignment="1"/>
    <xf numFmtId="44" fontId="11" fillId="3" borderId="0" xfId="0" applyNumberFormat="1" applyFont="1" applyFill="1" applyBorder="1" applyAlignment="1">
      <alignment horizontal="center"/>
    </xf>
    <xf numFmtId="0" fontId="11" fillId="0" borderId="0" xfId="0" applyFont="1" applyAlignment="1">
      <alignment wrapText="1"/>
    </xf>
    <xf numFmtId="1" fontId="11" fillId="0" borderId="1" xfId="0" applyNumberFormat="1" applyFont="1" applyBorder="1" applyAlignment="1">
      <alignment horizontal="right"/>
    </xf>
    <xf numFmtId="0" fontId="8" fillId="0" borderId="0" xfId="0" applyFont="1" applyAlignment="1">
      <alignment horizontal="right"/>
    </xf>
    <xf numFmtId="1" fontId="8" fillId="0" borderId="1" xfId="0" applyNumberFormat="1" applyFont="1" applyBorder="1" applyAlignment="1"/>
    <xf numFmtId="1" fontId="8" fillId="3" borderId="1" xfId="0" applyNumberFormat="1" applyFont="1" applyFill="1" applyBorder="1" applyAlignment="1"/>
    <xf numFmtId="0" fontId="11" fillId="0" borderId="1" xfId="0" applyFont="1" applyBorder="1" applyAlignment="1"/>
    <xf numFmtId="1" fontId="11" fillId="0" borderId="1" xfId="0" applyNumberFormat="1" applyFont="1" applyBorder="1" applyAlignment="1"/>
    <xf numFmtId="8" fontId="8" fillId="0" borderId="1" xfId="0" applyNumberFormat="1" applyFont="1" applyBorder="1" applyAlignment="1">
      <alignment horizontal="right"/>
    </xf>
    <xf numFmtId="0" fontId="10" fillId="0" borderId="9" xfId="0" applyNumberFormat="1" applyFont="1" applyFill="1" applyBorder="1" applyAlignment="1">
      <alignment horizontal="left" vertical="top" wrapText="1"/>
    </xf>
    <xf numFmtId="0" fontId="8" fillId="0" borderId="14" xfId="0" applyFont="1" applyBorder="1" applyAlignment="1">
      <alignment horizontal="left" wrapText="1"/>
    </xf>
    <xf numFmtId="0" fontId="8" fillId="0" borderId="14" xfId="0" applyFont="1" applyFill="1" applyBorder="1" applyAlignment="1">
      <alignment wrapText="1"/>
    </xf>
    <xf numFmtId="0" fontId="8" fillId="0" borderId="14" xfId="0" applyFont="1" applyBorder="1" applyAlignment="1">
      <alignment wrapText="1"/>
    </xf>
    <xf numFmtId="0" fontId="8" fillId="0" borderId="14" xfId="0" applyFont="1" applyFill="1" applyBorder="1" applyAlignment="1">
      <alignment horizontal="left" wrapText="1"/>
    </xf>
    <xf numFmtId="0" fontId="10" fillId="3" borderId="9" xfId="0" applyNumberFormat="1" applyFont="1" applyFill="1" applyBorder="1" applyAlignment="1">
      <alignment horizontal="left" vertical="top" wrapText="1"/>
    </xf>
    <xf numFmtId="0" fontId="8" fillId="3" borderId="14" xfId="0" applyFont="1" applyFill="1" applyBorder="1" applyAlignment="1">
      <alignment horizontal="left" wrapText="1"/>
    </xf>
    <xf numFmtId="0" fontId="15" fillId="0" borderId="9" xfId="0" applyNumberFormat="1" applyFont="1" applyFill="1" applyBorder="1" applyAlignment="1">
      <alignment horizontal="left" vertical="top" wrapText="1"/>
    </xf>
    <xf numFmtId="0" fontId="8" fillId="3" borderId="14" xfId="0" applyFont="1" applyFill="1" applyBorder="1" applyAlignment="1">
      <alignment wrapText="1"/>
    </xf>
    <xf numFmtId="0" fontId="15" fillId="3" borderId="9" xfId="0" applyNumberFormat="1" applyFont="1" applyFill="1" applyBorder="1" applyAlignment="1">
      <alignment horizontal="left" vertical="top" wrapText="1"/>
    </xf>
    <xf numFmtId="164" fontId="10" fillId="5" borderId="1" xfId="0" applyNumberFormat="1" applyFont="1" applyFill="1" applyBorder="1" applyAlignment="1" applyProtection="1">
      <alignment horizontal="right" vertical="top" wrapText="1"/>
      <protection locked="0"/>
    </xf>
    <xf numFmtId="0" fontId="10" fillId="5" borderId="1" xfId="0" applyNumberFormat="1" applyFont="1" applyFill="1" applyBorder="1" applyAlignment="1" applyProtection="1">
      <alignment horizontal="right" vertical="top" wrapText="1"/>
      <protection locked="0"/>
    </xf>
    <xf numFmtId="3" fontId="10" fillId="5" borderId="1" xfId="0" applyNumberFormat="1" applyFont="1" applyFill="1" applyBorder="1" applyAlignment="1" applyProtection="1">
      <alignment horizontal="right" vertical="top" wrapText="1"/>
      <protection locked="0"/>
    </xf>
    <xf numFmtId="0" fontId="10" fillId="5" borderId="1" xfId="0" applyNumberFormat="1" applyFont="1" applyFill="1" applyBorder="1" applyAlignment="1" applyProtection="1">
      <alignment horizontal="right" vertical="center" wrapText="1"/>
      <protection locked="0"/>
    </xf>
    <xf numFmtId="166" fontId="10" fillId="5" borderId="1" xfId="0" applyNumberFormat="1" applyFont="1" applyFill="1" applyBorder="1" applyAlignment="1" applyProtection="1">
      <alignment horizontal="right" vertical="center" wrapText="1"/>
      <protection locked="0"/>
    </xf>
    <xf numFmtId="167" fontId="9" fillId="5" borderId="1" xfId="0" applyNumberFormat="1" applyFont="1" applyFill="1" applyBorder="1" applyAlignment="1" applyProtection="1">
      <alignment horizontal="right" wrapText="1"/>
      <protection locked="0"/>
    </xf>
    <xf numFmtId="0" fontId="9" fillId="5" borderId="1" xfId="0" applyNumberFormat="1" applyFont="1" applyFill="1" applyBorder="1" applyAlignment="1" applyProtection="1">
      <alignment horizontal="right" vertical="center" wrapText="1"/>
      <protection locked="0"/>
    </xf>
    <xf numFmtId="9" fontId="9" fillId="5" borderId="1" xfId="2" applyFont="1" applyFill="1" applyBorder="1" applyAlignment="1" applyProtection="1">
      <alignment horizontal="right" wrapText="1"/>
      <protection locked="0"/>
    </xf>
    <xf numFmtId="0" fontId="9" fillId="5" borderId="1" xfId="0" applyNumberFormat="1" applyFont="1" applyFill="1" applyBorder="1" applyAlignment="1" applyProtection="1">
      <alignment horizontal="right" wrapText="1"/>
      <protection locked="0"/>
    </xf>
    <xf numFmtId="167" fontId="10" fillId="5" borderId="1" xfId="0" applyNumberFormat="1" applyFont="1" applyFill="1" applyBorder="1" applyAlignment="1" applyProtection="1">
      <alignment horizontal="right" vertical="center" wrapText="1"/>
      <protection locked="0"/>
    </xf>
    <xf numFmtId="167" fontId="10" fillId="5" borderId="1" xfId="0" applyNumberFormat="1" applyFont="1" applyFill="1" applyBorder="1" applyAlignment="1">
      <alignment horizontal="right" vertical="center" wrapText="1"/>
    </xf>
    <xf numFmtId="164" fontId="10" fillId="5" borderId="1" xfId="0" applyNumberFormat="1" applyFont="1" applyFill="1" applyBorder="1" applyAlignment="1" applyProtection="1">
      <alignment horizontal="right" vertical="center" wrapText="1"/>
      <protection locked="0"/>
    </xf>
    <xf numFmtId="0" fontId="18" fillId="4" borderId="6" xfId="0" applyNumberFormat="1" applyFont="1" applyFill="1" applyBorder="1" applyAlignment="1">
      <alignment horizontal="left"/>
    </xf>
    <xf numFmtId="0" fontId="18" fillId="4" borderId="7" xfId="0" applyFont="1" applyFill="1" applyBorder="1" applyAlignment="1">
      <alignment horizontal="left"/>
    </xf>
    <xf numFmtId="0" fontId="18" fillId="4" borderId="16" xfId="0" applyFont="1" applyFill="1" applyBorder="1" applyAlignment="1">
      <alignment horizontal="left"/>
    </xf>
    <xf numFmtId="0" fontId="15" fillId="4" borderId="10" xfId="0" applyNumberFormat="1" applyFont="1" applyFill="1" applyBorder="1" applyAlignment="1">
      <alignment horizontal="left" vertical="top" wrapText="1"/>
    </xf>
    <xf numFmtId="0" fontId="8" fillId="4" borderId="13" xfId="0" applyFont="1" applyFill="1" applyBorder="1" applyAlignment="1">
      <alignment wrapText="1"/>
    </xf>
    <xf numFmtId="0" fontId="18" fillId="4" borderId="22" xfId="0" applyNumberFormat="1" applyFont="1" applyFill="1" applyBorder="1" applyAlignment="1">
      <alignment horizontal="left"/>
    </xf>
    <xf numFmtId="0" fontId="18" fillId="4" borderId="23" xfId="0" applyFont="1" applyFill="1" applyBorder="1" applyAlignment="1">
      <alignment horizontal="left"/>
    </xf>
    <xf numFmtId="0" fontId="18" fillId="4" borderId="15" xfId="0" applyFont="1" applyFill="1" applyBorder="1" applyAlignment="1">
      <alignment horizontal="left"/>
    </xf>
    <xf numFmtId="9" fontId="4" fillId="5" borderId="1" xfId="2" applyFont="1" applyFill="1" applyBorder="1" applyAlignment="1" applyProtection="1">
      <alignment horizontal="right"/>
      <protection locked="0"/>
    </xf>
    <xf numFmtId="3" fontId="4" fillId="5" borderId="1" xfId="0" applyNumberFormat="1" applyFont="1" applyFill="1" applyBorder="1" applyAlignment="1" applyProtection="1">
      <alignment horizontal="right"/>
      <protection locked="0"/>
    </xf>
    <xf numFmtId="164" fontId="9" fillId="5" borderId="1" xfId="0" applyNumberFormat="1" applyFont="1" applyFill="1" applyBorder="1" applyAlignment="1" applyProtection="1">
      <alignment horizontal="right"/>
      <protection locked="0"/>
    </xf>
    <xf numFmtId="0" fontId="9" fillId="5" borderId="1" xfId="0" applyNumberFormat="1" applyFont="1" applyFill="1" applyBorder="1" applyAlignment="1" applyProtection="1">
      <alignment horizontal="right" vertical="center"/>
      <protection locked="0"/>
    </xf>
    <xf numFmtId="9" fontId="9" fillId="5" borderId="1" xfId="2" applyFont="1" applyFill="1" applyBorder="1" applyAlignment="1" applyProtection="1">
      <alignment horizontal="right"/>
      <protection locked="0"/>
    </xf>
    <xf numFmtId="167" fontId="9" fillId="5" borderId="1" xfId="0" applyNumberFormat="1" applyFont="1" applyFill="1" applyBorder="1" applyAlignment="1" applyProtection="1">
      <alignment horizontal="right"/>
      <protection locked="0"/>
    </xf>
    <xf numFmtId="0" fontId="9" fillId="5" borderId="1" xfId="0" applyNumberFormat="1" applyFont="1" applyFill="1" applyBorder="1" applyAlignment="1" applyProtection="1">
      <alignment horizontal="right"/>
      <protection locked="0"/>
    </xf>
    <xf numFmtId="170" fontId="4" fillId="5" borderId="1" xfId="2" applyNumberFormat="1" applyFont="1" applyFill="1" applyBorder="1" applyAlignment="1" applyProtection="1">
      <alignment horizontal="right"/>
      <protection locked="0"/>
    </xf>
    <xf numFmtId="167" fontId="4" fillId="5" borderId="1" xfId="0" applyNumberFormat="1" applyFont="1" applyFill="1" applyBorder="1" applyAlignment="1" applyProtection="1">
      <alignment horizontal="right"/>
      <protection locked="0"/>
    </xf>
    <xf numFmtId="0" fontId="8" fillId="0" borderId="1" xfId="0" applyFont="1" applyBorder="1" applyAlignment="1">
      <alignment wrapText="1"/>
    </xf>
    <xf numFmtId="0" fontId="24" fillId="0" borderId="1" xfId="0" applyNumberFormat="1" applyFont="1" applyFill="1" applyBorder="1" applyAlignment="1">
      <alignment vertical="top" wrapText="1"/>
    </xf>
    <xf numFmtId="0" fontId="8" fillId="0" borderId="1" xfId="0" applyFont="1" applyFill="1" applyBorder="1" applyAlignment="1">
      <alignment wrapText="1"/>
    </xf>
    <xf numFmtId="167" fontId="8" fillId="0" borderId="1" xfId="0" applyNumberFormat="1" applyFont="1" applyBorder="1" applyAlignment="1">
      <alignment wrapText="1"/>
    </xf>
    <xf numFmtId="2" fontId="8" fillId="0" borderId="1" xfId="0" applyNumberFormat="1" applyFont="1" applyBorder="1" applyAlignment="1">
      <alignment wrapText="1"/>
    </xf>
    <xf numFmtId="0" fontId="8" fillId="0" borderId="11" xfId="0" applyFont="1" applyBorder="1" applyAlignment="1">
      <alignment wrapText="1"/>
    </xf>
    <xf numFmtId="0" fontId="8" fillId="0" borderId="13" xfId="0" applyFont="1" applyBorder="1" applyAlignment="1">
      <alignment wrapText="1"/>
    </xf>
    <xf numFmtId="0" fontId="8" fillId="0" borderId="7" xfId="0" applyFont="1" applyBorder="1" applyAlignment="1">
      <alignment horizontal="left" wrapText="1"/>
    </xf>
    <xf numFmtId="0" fontId="8" fillId="0" borderId="16" xfId="0" applyFont="1" applyBorder="1" applyAlignment="1">
      <alignment horizontal="left" wrapText="1"/>
    </xf>
    <xf numFmtId="165" fontId="10" fillId="0" borderId="1" xfId="0" applyNumberFormat="1" applyFont="1" applyFill="1" applyBorder="1" applyAlignment="1">
      <alignment vertical="top" wrapText="1"/>
    </xf>
    <xf numFmtId="3" fontId="10" fillId="0" borderId="1" xfId="0" applyNumberFormat="1" applyFont="1" applyFill="1" applyBorder="1" applyAlignment="1">
      <alignment vertical="center" wrapText="1"/>
    </xf>
    <xf numFmtId="0" fontId="10" fillId="0" borderId="1" xfId="0" applyNumberFormat="1" applyFont="1" applyFill="1" applyBorder="1" applyAlignment="1">
      <alignment vertical="center" wrapText="1"/>
    </xf>
    <xf numFmtId="168" fontId="10" fillId="0" borderId="1" xfId="0" applyNumberFormat="1" applyFont="1" applyFill="1" applyBorder="1" applyAlignment="1">
      <alignment vertical="center" wrapText="1"/>
    </xf>
    <xf numFmtId="167" fontId="9" fillId="0" borderId="1" xfId="0" applyNumberFormat="1" applyFont="1" applyFill="1" applyBorder="1" applyAlignment="1">
      <alignment wrapText="1"/>
    </xf>
    <xf numFmtId="167" fontId="10" fillId="0" borderId="1" xfId="0" applyNumberFormat="1" applyFont="1" applyFill="1" applyBorder="1" applyAlignment="1">
      <alignment vertical="center" wrapText="1"/>
    </xf>
    <xf numFmtId="167" fontId="15" fillId="0" borderId="1" xfId="0" applyNumberFormat="1" applyFont="1" applyFill="1" applyBorder="1" applyAlignment="1">
      <alignment vertical="center" wrapText="1"/>
    </xf>
    <xf numFmtId="44" fontId="15" fillId="0" borderId="1" xfId="0" applyNumberFormat="1" applyFont="1" applyFill="1" applyBorder="1" applyAlignment="1">
      <alignment vertical="center" wrapText="1"/>
    </xf>
    <xf numFmtId="169" fontId="3" fillId="0" borderId="1" xfId="0" applyNumberFormat="1" applyFont="1" applyBorder="1" applyAlignment="1">
      <alignment vertical="center" wrapText="1"/>
    </xf>
    <xf numFmtId="0" fontId="10" fillId="0" borderId="19" xfId="0" applyNumberFormat="1" applyFont="1" applyFill="1" applyBorder="1" applyAlignment="1">
      <alignment horizontal="left" vertical="top" wrapText="1"/>
    </xf>
    <xf numFmtId="169" fontId="3" fillId="0" borderId="20" xfId="0" applyNumberFormat="1" applyFont="1" applyBorder="1" applyAlignment="1">
      <alignment vertical="center" wrapText="1"/>
    </xf>
    <xf numFmtId="0" fontId="8" fillId="0" borderId="20" xfId="0" applyFont="1" applyBorder="1" applyAlignment="1">
      <alignment wrapText="1"/>
    </xf>
    <xf numFmtId="0" fontId="8" fillId="0" borderId="21" xfId="0" applyFont="1" applyBorder="1" applyAlignment="1">
      <alignment wrapText="1"/>
    </xf>
    <xf numFmtId="0" fontId="8" fillId="0" borderId="3" xfId="0" applyFont="1" applyBorder="1" applyAlignment="1">
      <alignment wrapText="1"/>
    </xf>
    <xf numFmtId="0" fontId="8" fillId="4" borderId="15" xfId="0" applyFont="1" applyFill="1" applyBorder="1" applyAlignment="1">
      <alignment wrapText="1"/>
    </xf>
    <xf numFmtId="0" fontId="18" fillId="4" borderId="6" xfId="0" applyNumberFormat="1" applyFont="1" applyFill="1" applyBorder="1" applyAlignment="1">
      <alignment horizontal="left" wrapText="1"/>
    </xf>
    <xf numFmtId="0" fontId="18" fillId="4" borderId="7" xfId="0" applyFont="1" applyFill="1" applyBorder="1" applyAlignment="1">
      <alignment horizontal="left" wrapText="1"/>
    </xf>
    <xf numFmtId="164" fontId="10" fillId="5" borderId="1" xfId="0" applyNumberFormat="1" applyFont="1" applyFill="1" applyBorder="1" applyAlignment="1" applyProtection="1">
      <alignment vertical="top" wrapText="1"/>
      <protection locked="0"/>
    </xf>
    <xf numFmtId="3" fontId="10" fillId="5" borderId="1" xfId="0" applyNumberFormat="1" applyFont="1" applyFill="1" applyBorder="1" applyAlignment="1" applyProtection="1">
      <alignment vertical="top" wrapText="1"/>
      <protection locked="0"/>
    </xf>
    <xf numFmtId="0" fontId="10" fillId="5" borderId="1" xfId="0" applyNumberFormat="1" applyFont="1" applyFill="1" applyBorder="1" applyAlignment="1" applyProtection="1">
      <alignment vertical="center" wrapText="1"/>
      <protection locked="0"/>
    </xf>
    <xf numFmtId="166" fontId="10" fillId="5" borderId="1" xfId="0" applyNumberFormat="1" applyFont="1" applyFill="1" applyBorder="1" applyAlignment="1" applyProtection="1">
      <alignment vertical="center" wrapText="1"/>
      <protection locked="0"/>
    </xf>
    <xf numFmtId="167" fontId="9" fillId="5" borderId="1" xfId="0" applyNumberFormat="1" applyFont="1" applyFill="1" applyBorder="1" applyAlignment="1" applyProtection="1">
      <alignment wrapText="1"/>
      <protection locked="0"/>
    </xf>
    <xf numFmtId="0" fontId="9" fillId="5" borderId="1" xfId="0" applyNumberFormat="1" applyFont="1" applyFill="1" applyBorder="1" applyAlignment="1" applyProtection="1">
      <alignment vertical="center" wrapText="1"/>
      <protection locked="0"/>
    </xf>
    <xf numFmtId="9" fontId="9" fillId="5" borderId="1" xfId="2" applyFont="1" applyFill="1" applyBorder="1" applyAlignment="1" applyProtection="1">
      <alignment wrapText="1"/>
      <protection locked="0"/>
    </xf>
    <xf numFmtId="0" fontId="9" fillId="5" borderId="1" xfId="0" applyNumberFormat="1" applyFont="1" applyFill="1" applyBorder="1" applyAlignment="1" applyProtection="1">
      <alignment wrapText="1"/>
      <protection locked="0"/>
    </xf>
    <xf numFmtId="167" fontId="10" fillId="5" borderId="1" xfId="0" applyNumberFormat="1" applyFont="1" applyFill="1" applyBorder="1" applyAlignment="1" applyProtection="1">
      <alignment vertical="center" wrapText="1"/>
      <protection locked="0"/>
    </xf>
    <xf numFmtId="167" fontId="10" fillId="5" borderId="1" xfId="0" applyNumberFormat="1" applyFont="1" applyFill="1" applyBorder="1" applyAlignment="1">
      <alignment vertical="center" wrapText="1"/>
    </xf>
    <xf numFmtId="164" fontId="10" fillId="5" borderId="1" xfId="0" applyNumberFormat="1" applyFont="1" applyFill="1" applyBorder="1" applyAlignment="1" applyProtection="1">
      <alignment vertical="center" wrapText="1"/>
      <protection locked="0"/>
    </xf>
    <xf numFmtId="2" fontId="10" fillId="5" borderId="1" xfId="0" applyNumberFormat="1" applyFont="1" applyFill="1" applyBorder="1" applyAlignment="1" applyProtection="1">
      <alignment vertical="center" wrapText="1"/>
      <protection locked="0"/>
    </xf>
    <xf numFmtId="164" fontId="10" fillId="5" borderId="1" xfId="0" applyNumberFormat="1" applyFont="1" applyFill="1" applyBorder="1" applyAlignment="1" applyProtection="1">
      <alignment horizontal="right" vertical="top"/>
      <protection locked="0"/>
    </xf>
    <xf numFmtId="0" fontId="10" fillId="5" borderId="1" xfId="0" applyNumberFormat="1" applyFont="1" applyFill="1" applyBorder="1" applyAlignment="1" applyProtection="1">
      <alignment horizontal="right" vertical="top"/>
      <protection locked="0"/>
    </xf>
    <xf numFmtId="3" fontId="10" fillId="5" borderId="1" xfId="0" applyNumberFormat="1" applyFont="1" applyFill="1" applyBorder="1" applyAlignment="1" applyProtection="1">
      <alignment horizontal="right" vertical="top"/>
      <protection locked="0"/>
    </xf>
    <xf numFmtId="0" fontId="10" fillId="5" borderId="1" xfId="0" applyNumberFormat="1" applyFont="1" applyFill="1" applyBorder="1" applyAlignment="1" applyProtection="1">
      <alignment horizontal="right" vertical="center"/>
      <protection locked="0"/>
    </xf>
    <xf numFmtId="166" fontId="10" fillId="5" borderId="1" xfId="0" applyNumberFormat="1" applyFont="1" applyFill="1" applyBorder="1" applyAlignment="1" applyProtection="1">
      <alignment horizontal="right" vertical="center"/>
      <protection locked="0"/>
    </xf>
    <xf numFmtId="167" fontId="10" fillId="5" borderId="1" xfId="0" applyNumberFormat="1" applyFont="1" applyFill="1" applyBorder="1" applyAlignment="1" applyProtection="1">
      <alignment horizontal="right" vertical="center"/>
      <protection locked="0"/>
    </xf>
    <xf numFmtId="167" fontId="10" fillId="5" borderId="1" xfId="0" applyNumberFormat="1" applyFont="1" applyFill="1" applyBorder="1" applyAlignment="1">
      <alignment horizontal="right" vertical="center"/>
    </xf>
    <xf numFmtId="164" fontId="10" fillId="5" borderId="1" xfId="0" applyNumberFormat="1" applyFont="1" applyFill="1" applyBorder="1" applyAlignment="1" applyProtection="1">
      <alignment horizontal="right" vertical="center"/>
      <protection locked="0"/>
    </xf>
    <xf numFmtId="2" fontId="10" fillId="5" borderId="1" xfId="0" applyNumberFormat="1" applyFont="1" applyFill="1" applyBorder="1" applyAlignment="1" applyProtection="1">
      <alignment horizontal="right" vertical="center"/>
      <protection locked="0"/>
    </xf>
    <xf numFmtId="0" fontId="18" fillId="4" borderId="10" xfId="0" applyNumberFormat="1" applyFont="1" applyFill="1" applyBorder="1" applyAlignment="1">
      <alignment horizontal="left"/>
    </xf>
    <xf numFmtId="0" fontId="8" fillId="0" borderId="0" xfId="0" applyFont="1" applyAlignment="1">
      <alignment horizontal="left" wrapText="1"/>
    </xf>
    <xf numFmtId="0" fontId="8" fillId="0" borderId="0" xfId="0" applyFont="1" applyFill="1" applyBorder="1" applyAlignment="1">
      <alignment horizontal="center"/>
    </xf>
    <xf numFmtId="0" fontId="18" fillId="4" borderId="9" xfId="0" applyNumberFormat="1" applyFont="1" applyFill="1" applyBorder="1" applyAlignment="1">
      <alignment horizontal="left"/>
    </xf>
    <xf numFmtId="0" fontId="18" fillId="4" borderId="1" xfId="0" applyNumberFormat="1" applyFont="1" applyFill="1" applyBorder="1" applyAlignment="1">
      <alignment horizontal="left"/>
    </xf>
    <xf numFmtId="44" fontId="15" fillId="4" borderId="11" xfId="0" applyNumberFormat="1" applyFont="1" applyFill="1" applyBorder="1" applyAlignment="1">
      <alignment horizontal="right" vertical="center"/>
    </xf>
    <xf numFmtId="0" fontId="8" fillId="0" borderId="14" xfId="0" applyFont="1" applyBorder="1" applyAlignment="1">
      <alignment horizontal="center"/>
    </xf>
    <xf numFmtId="0" fontId="14" fillId="0" borderId="0" xfId="0" applyFont="1" applyAlignment="1">
      <alignment wrapText="1"/>
    </xf>
    <xf numFmtId="8" fontId="14" fillId="0" borderId="0" xfId="0" applyNumberFormat="1" applyFont="1" applyAlignment="1">
      <alignment horizontal="left" wrapText="1"/>
    </xf>
    <xf numFmtId="0" fontId="11" fillId="4" borderId="11" xfId="0" applyFont="1" applyFill="1" applyBorder="1" applyAlignment="1">
      <alignment horizontal="center"/>
    </xf>
    <xf numFmtId="0" fontId="11" fillId="4" borderId="13" xfId="0" applyFont="1" applyFill="1" applyBorder="1" applyAlignment="1"/>
    <xf numFmtId="0" fontId="10" fillId="0" borderId="6" xfId="0" applyNumberFormat="1" applyFont="1" applyFill="1" applyBorder="1" applyAlignment="1">
      <alignment horizontal="left" vertical="top" wrapText="1"/>
    </xf>
    <xf numFmtId="8" fontId="8" fillId="0" borderId="7" xfId="0" applyNumberFormat="1" applyFont="1" applyBorder="1" applyAlignment="1">
      <alignment horizontal="center"/>
    </xf>
    <xf numFmtId="0" fontId="8" fillId="0" borderId="7" xfId="0" applyFont="1" applyBorder="1" applyAlignment="1">
      <alignment horizontal="center"/>
    </xf>
    <xf numFmtId="0" fontId="8" fillId="0" borderId="16" xfId="0" applyFont="1" applyBorder="1" applyAlignment="1">
      <alignment wrapText="1"/>
    </xf>
    <xf numFmtId="6" fontId="8" fillId="0" borderId="1" xfId="0" applyNumberFormat="1" applyFont="1" applyBorder="1" applyAlignment="1">
      <alignment horizontal="center"/>
    </xf>
    <xf numFmtId="8" fontId="8" fillId="0" borderId="1" xfId="0" applyNumberFormat="1" applyFont="1" applyBorder="1" applyAlignment="1">
      <alignment horizontal="center"/>
    </xf>
    <xf numFmtId="8" fontId="11" fillId="0" borderId="1" xfId="0" applyNumberFormat="1" applyFont="1" applyBorder="1" applyAlignment="1">
      <alignment horizontal="center"/>
    </xf>
    <xf numFmtId="0" fontId="11" fillId="0" borderId="9" xfId="0" applyFont="1" applyBorder="1" applyAlignment="1"/>
    <xf numFmtId="167" fontId="11" fillId="0" borderId="1" xfId="0" applyNumberFormat="1" applyFont="1" applyBorder="1" applyAlignment="1">
      <alignment horizontal="center"/>
    </xf>
    <xf numFmtId="0" fontId="13" fillId="0" borderId="1" xfId="0" applyFont="1" applyBorder="1" applyAlignment="1">
      <alignment horizontal="center"/>
    </xf>
    <xf numFmtId="8" fontId="16" fillId="0" borderId="1" xfId="0" applyNumberFormat="1" applyFont="1" applyBorder="1" applyAlignment="1">
      <alignment horizontal="center"/>
    </xf>
    <xf numFmtId="0" fontId="18" fillId="4" borderId="11" xfId="0" applyFont="1" applyFill="1" applyBorder="1" applyAlignment="1">
      <alignment horizontal="left" wrapText="1"/>
    </xf>
    <xf numFmtId="0" fontId="18" fillId="4" borderId="11" xfId="0" applyNumberFormat="1" applyFont="1" applyFill="1" applyBorder="1" applyAlignment="1">
      <alignment horizontal="left" wrapText="1"/>
    </xf>
    <xf numFmtId="0" fontId="11" fillId="4" borderId="11" xfId="0" applyFont="1" applyFill="1" applyBorder="1" applyAlignment="1">
      <alignment horizontal="center" wrapText="1"/>
    </xf>
    <xf numFmtId="0" fontId="11" fillId="0" borderId="14" xfId="0" applyFont="1" applyBorder="1" applyAlignment="1">
      <alignment wrapText="1"/>
    </xf>
    <xf numFmtId="0" fontId="8" fillId="3" borderId="9" xfId="0" applyFont="1" applyFill="1" applyBorder="1" applyAlignment="1"/>
    <xf numFmtId="8" fontId="8" fillId="3" borderId="1" xfId="0" applyNumberFormat="1" applyFont="1" applyFill="1" applyBorder="1" applyAlignment="1">
      <alignment horizontal="center"/>
    </xf>
    <xf numFmtId="8" fontId="8" fillId="3" borderId="14" xfId="0" applyNumberFormat="1" applyFont="1" applyFill="1" applyBorder="1" applyAlignment="1">
      <alignment horizontal="left" wrapText="1"/>
    </xf>
    <xf numFmtId="0" fontId="11" fillId="4" borderId="10" xfId="0" applyFont="1" applyFill="1" applyBorder="1" applyAlignment="1"/>
    <xf numFmtId="8" fontId="11" fillId="4" borderId="11" xfId="0" applyNumberFormat="1" applyFont="1" applyFill="1" applyBorder="1" applyAlignment="1">
      <alignment horizontal="center"/>
    </xf>
    <xf numFmtId="0" fontId="11" fillId="4" borderId="13" xfId="0" applyFont="1" applyFill="1" applyBorder="1" applyAlignment="1">
      <alignment wrapText="1"/>
    </xf>
    <xf numFmtId="0" fontId="16" fillId="0" borderId="9" xfId="0" applyFont="1" applyBorder="1" applyAlignment="1">
      <alignment horizontal="left" wrapText="1"/>
    </xf>
    <xf numFmtId="0" fontId="11" fillId="0" borderId="14" xfId="0" applyFont="1" applyBorder="1" applyAlignment="1">
      <alignment horizontal="center"/>
    </xf>
    <xf numFmtId="0" fontId="8" fillId="0" borderId="14" xfId="0" applyFont="1" applyBorder="1" applyAlignment="1">
      <alignment horizontal="right"/>
    </xf>
    <xf numFmtId="44" fontId="8" fillId="0" borderId="14" xfId="0" applyNumberFormat="1" applyFont="1" applyBorder="1" applyAlignment="1">
      <alignment horizontal="right"/>
    </xf>
    <xf numFmtId="44" fontId="11" fillId="0" borderId="14" xfId="1" applyFont="1" applyBorder="1" applyAlignment="1">
      <alignment horizontal="right"/>
    </xf>
    <xf numFmtId="44" fontId="8" fillId="0" borderId="14" xfId="0" applyNumberFormat="1" applyFont="1" applyBorder="1" applyAlignment="1">
      <alignment horizontal="center"/>
    </xf>
    <xf numFmtId="44" fontId="11" fillId="0" borderId="14" xfId="0" applyNumberFormat="1" applyFont="1" applyBorder="1" applyAlignment="1">
      <alignment horizontal="center"/>
    </xf>
    <xf numFmtId="44" fontId="11" fillId="0" borderId="13" xfId="0" applyNumberFormat="1" applyFont="1" applyBorder="1" applyAlignment="1">
      <alignment horizontal="center"/>
    </xf>
    <xf numFmtId="0" fontId="11" fillId="0" borderId="9" xfId="0" applyFont="1" applyBorder="1" applyAlignment="1">
      <alignment horizontal="center"/>
    </xf>
    <xf numFmtId="171" fontId="11" fillId="0" borderId="1" xfId="0" applyNumberFormat="1" applyFont="1" applyBorder="1" applyAlignment="1">
      <alignment horizontal="center" wrapText="1"/>
    </xf>
    <xf numFmtId="0" fontId="11" fillId="0" borderId="1" xfId="0" applyFont="1" applyBorder="1" applyAlignment="1">
      <alignment horizontal="center" wrapText="1"/>
    </xf>
    <xf numFmtId="0" fontId="8" fillId="0" borderId="2" xfId="0" applyFont="1" applyBorder="1" applyAlignment="1">
      <alignment horizontal="center"/>
    </xf>
    <xf numFmtId="0" fontId="8" fillId="0" borderId="27" xfId="0" applyFont="1" applyBorder="1" applyAlignment="1"/>
    <xf numFmtId="171" fontId="8" fillId="0" borderId="0" xfId="0" applyNumberFormat="1" applyFont="1" applyBorder="1" applyAlignment="1">
      <alignment horizontal="center"/>
    </xf>
    <xf numFmtId="0" fontId="8" fillId="0" borderId="24" xfId="0" applyFont="1" applyBorder="1" applyAlignment="1">
      <alignment horizontal="center"/>
    </xf>
    <xf numFmtId="44" fontId="8" fillId="0" borderId="24" xfId="1" applyFont="1" applyBorder="1" applyAlignment="1">
      <alignment horizontal="center"/>
    </xf>
    <xf numFmtId="44" fontId="8" fillId="0" borderId="24" xfId="0" applyNumberFormat="1" applyFont="1" applyBorder="1" applyAlignment="1">
      <alignment horizontal="center"/>
    </xf>
    <xf numFmtId="9" fontId="11" fillId="0" borderId="8" xfId="2" applyFont="1" applyBorder="1" applyAlignment="1">
      <alignment horizontal="center"/>
    </xf>
    <xf numFmtId="9" fontId="11" fillId="0" borderId="29" xfId="2" applyFont="1" applyBorder="1" applyAlignment="1">
      <alignment horizontal="center"/>
    </xf>
    <xf numFmtId="171" fontId="11" fillId="0" borderId="12" xfId="0" applyNumberFormat="1" applyFont="1" applyBorder="1" applyAlignment="1">
      <alignment horizontal="center"/>
    </xf>
    <xf numFmtId="0" fontId="11" fillId="0" borderId="2" xfId="0" applyFont="1" applyBorder="1" applyAlignment="1">
      <alignment horizontal="center"/>
    </xf>
    <xf numFmtId="10" fontId="8" fillId="0" borderId="28" xfId="2" applyNumberFormat="1" applyFont="1" applyBorder="1" applyAlignment="1">
      <alignment horizontal="center"/>
    </xf>
    <xf numFmtId="0" fontId="11" fillId="0" borderId="2" xfId="0" applyFont="1" applyBorder="1" applyAlignment="1">
      <alignment horizontal="center" wrapText="1"/>
    </xf>
    <xf numFmtId="0" fontId="8" fillId="0" borderId="27" xfId="0" applyFont="1" applyBorder="1" applyAlignment="1">
      <alignment horizontal="center"/>
    </xf>
    <xf numFmtId="169" fontId="2" fillId="0" borderId="1" xfId="0" applyNumberFormat="1" applyFont="1" applyBorder="1" applyAlignment="1">
      <alignment horizontal="right" vertical="center"/>
    </xf>
    <xf numFmtId="9" fontId="4" fillId="5" borderId="7" xfId="2" applyFont="1" applyFill="1" applyBorder="1" applyAlignment="1" applyProtection="1">
      <alignment horizontal="right"/>
      <protection locked="0"/>
    </xf>
    <xf numFmtId="0" fontId="4" fillId="0" borderId="9" xfId="0" applyFont="1" applyFill="1" applyBorder="1" applyAlignment="1"/>
    <xf numFmtId="0" fontId="8" fillId="5" borderId="1" xfId="0" applyFont="1" applyFill="1" applyBorder="1" applyAlignment="1" applyProtection="1">
      <alignment horizontal="right"/>
      <protection locked="0"/>
    </xf>
    <xf numFmtId="0" fontId="8" fillId="0" borderId="1" xfId="0" applyFont="1" applyBorder="1" applyAlignment="1" applyProtection="1">
      <alignment horizontal="right"/>
      <protection locked="0"/>
    </xf>
    <xf numFmtId="0" fontId="4" fillId="5" borderId="1" xfId="0" applyFont="1" applyFill="1" applyBorder="1" applyAlignment="1" applyProtection="1">
      <alignment horizontal="right"/>
      <protection locked="0"/>
    </xf>
    <xf numFmtId="0" fontId="8" fillId="4" borderId="13" xfId="0" applyFont="1" applyFill="1" applyBorder="1" applyAlignment="1"/>
    <xf numFmtId="10" fontId="8" fillId="0" borderId="10" xfId="2" applyNumberFormat="1" applyFont="1" applyBorder="1" applyAlignment="1">
      <alignment horizontal="right"/>
    </xf>
    <xf numFmtId="0" fontId="8" fillId="0" borderId="11" xfId="0" applyFont="1" applyBorder="1" applyAlignment="1">
      <alignment horizontal="right"/>
    </xf>
    <xf numFmtId="44" fontId="8" fillId="0" borderId="11" xfId="1" applyFont="1" applyBorder="1" applyAlignment="1">
      <alignment horizontal="right"/>
    </xf>
    <xf numFmtId="44" fontId="8" fillId="0" borderId="13" xfId="0" applyNumberFormat="1" applyFont="1" applyBorder="1" applyAlignment="1">
      <alignment horizontal="right"/>
    </xf>
    <xf numFmtId="171" fontId="11" fillId="0" borderId="6" xfId="0" applyNumberFormat="1" applyFont="1" applyBorder="1" applyAlignment="1">
      <alignment horizontal="center"/>
    </xf>
    <xf numFmtId="0" fontId="11" fillId="0" borderId="7" xfId="0" applyFont="1" applyBorder="1" applyAlignment="1">
      <alignment horizontal="center"/>
    </xf>
    <xf numFmtId="0" fontId="11" fillId="0" borderId="16" xfId="0" applyFont="1" applyBorder="1" applyAlignment="1">
      <alignment horizontal="center"/>
    </xf>
    <xf numFmtId="9" fontId="11" fillId="0" borderId="13" xfId="2" applyFont="1" applyBorder="1" applyAlignment="1">
      <alignment horizontal="right"/>
    </xf>
    <xf numFmtId="0" fontId="8" fillId="5" borderId="1" xfId="0" applyFont="1" applyFill="1" applyBorder="1" applyAlignment="1"/>
    <xf numFmtId="9" fontId="11" fillId="0" borderId="18" xfId="2" applyFont="1" applyBorder="1" applyAlignment="1">
      <alignment horizontal="right"/>
    </xf>
    <xf numFmtId="44" fontId="11" fillId="0" borderId="14" xfId="1" applyFont="1" applyBorder="1" applyAlignment="1">
      <alignment horizontal="center"/>
    </xf>
    <xf numFmtId="44" fontId="11" fillId="0" borderId="14" xfId="0" applyNumberFormat="1" applyFont="1" applyBorder="1" applyAlignment="1">
      <alignment horizontal="right"/>
    </xf>
    <xf numFmtId="0" fontId="8" fillId="0" borderId="11" xfId="0" applyFont="1" applyBorder="1" applyAlignment="1"/>
    <xf numFmtId="44" fontId="11" fillId="0" borderId="13" xfId="0" applyNumberFormat="1" applyFont="1" applyBorder="1" applyAlignment="1">
      <alignment horizontal="right"/>
    </xf>
    <xf numFmtId="9" fontId="11" fillId="0" borderId="14" xfId="2" applyFont="1" applyBorder="1" applyAlignment="1">
      <alignment horizontal="right"/>
    </xf>
    <xf numFmtId="171" fontId="8" fillId="0" borderId="0" xfId="0" applyNumberFormat="1" applyFont="1" applyAlignment="1">
      <alignment horizontal="right"/>
    </xf>
    <xf numFmtId="0" fontId="8" fillId="0" borderId="9" xfId="0" applyFont="1" applyBorder="1" applyAlignment="1">
      <alignment horizontal="left" wrapText="1"/>
    </xf>
    <xf numFmtId="0" fontId="11" fillId="0" borderId="9" xfId="0" applyFont="1" applyBorder="1" applyAlignment="1">
      <alignment horizontal="right" wrapText="1"/>
    </xf>
    <xf numFmtId="0" fontId="11" fillId="0" borderId="14" xfId="0" applyFont="1" applyBorder="1" applyAlignment="1">
      <alignment horizontal="right"/>
    </xf>
    <xf numFmtId="0" fontId="8" fillId="0" borderId="9" xfId="0" applyFont="1" applyBorder="1" applyAlignment="1">
      <alignment horizontal="right" wrapText="1"/>
    </xf>
    <xf numFmtId="0" fontId="8" fillId="0" borderId="9" xfId="0" applyFont="1" applyBorder="1" applyAlignment="1">
      <alignment horizontal="right"/>
    </xf>
    <xf numFmtId="0" fontId="8" fillId="0" borderId="10" xfId="0" applyFont="1" applyBorder="1" applyAlignment="1">
      <alignment horizontal="right"/>
    </xf>
    <xf numFmtId="171" fontId="8" fillId="0" borderId="11" xfId="0" applyNumberFormat="1" applyFont="1" applyBorder="1" applyAlignment="1">
      <alignment horizontal="right"/>
    </xf>
    <xf numFmtId="0" fontId="11" fillId="0" borderId="11" xfId="0" applyFont="1" applyBorder="1" applyAlignment="1">
      <alignment horizontal="right"/>
    </xf>
    <xf numFmtId="0" fontId="12" fillId="0" borderId="0" xfId="0" applyFont="1" applyAlignment="1">
      <alignment horizontal="right"/>
    </xf>
    <xf numFmtId="0" fontId="11" fillId="4" borderId="1" xfId="0" applyFont="1" applyFill="1" applyBorder="1" applyAlignment="1">
      <alignment horizontal="center"/>
    </xf>
    <xf numFmtId="8" fontId="8" fillId="5" borderId="1" xfId="0" applyNumberFormat="1" applyFont="1" applyFill="1" applyBorder="1" applyAlignment="1">
      <alignment horizontal="right"/>
    </xf>
    <xf numFmtId="6" fontId="8" fillId="5" borderId="1" xfId="0" applyNumberFormat="1" applyFont="1" applyFill="1" applyBorder="1" applyAlignment="1">
      <alignment horizontal="right"/>
    </xf>
    <xf numFmtId="0" fontId="11" fillId="4" borderId="6" xfId="0" applyFont="1" applyFill="1" applyBorder="1" applyAlignment="1"/>
    <xf numFmtId="0" fontId="11" fillId="4" borderId="7" xfId="0" applyFont="1" applyFill="1" applyBorder="1" applyAlignment="1">
      <alignment horizontal="center"/>
    </xf>
    <xf numFmtId="0" fontId="11" fillId="4" borderId="16" xfId="0" applyFont="1" applyFill="1" applyBorder="1" applyAlignment="1">
      <alignment horizontal="center"/>
    </xf>
    <xf numFmtId="0" fontId="11" fillId="4" borderId="9" xfId="0" applyFont="1" applyFill="1" applyBorder="1" applyAlignment="1"/>
    <xf numFmtId="0" fontId="11" fillId="4" borderId="14" xfId="0" applyFont="1" applyFill="1" applyBorder="1" applyAlignment="1">
      <alignment horizontal="center"/>
    </xf>
    <xf numFmtId="8" fontId="11" fillId="4" borderId="14" xfId="0" applyNumberFormat="1" applyFont="1" applyFill="1" applyBorder="1" applyAlignment="1">
      <alignment horizontal="right"/>
    </xf>
    <xf numFmtId="0" fontId="8" fillId="5" borderId="11" xfId="0" applyFont="1" applyFill="1" applyBorder="1" applyAlignment="1">
      <alignment horizontal="right"/>
    </xf>
    <xf numFmtId="8" fontId="8" fillId="5" borderId="11" xfId="0" applyNumberFormat="1" applyFont="1" applyFill="1" applyBorder="1" applyAlignment="1">
      <alignment horizontal="right"/>
    </xf>
    <xf numFmtId="8" fontId="8" fillId="0" borderId="11" xfId="0" applyNumberFormat="1" applyFont="1" applyBorder="1" applyAlignment="1">
      <alignment horizontal="right"/>
    </xf>
    <xf numFmtId="8" fontId="11" fillId="4" borderId="13" xfId="0" applyNumberFormat="1" applyFont="1" applyFill="1" applyBorder="1" applyAlignment="1">
      <alignment horizontal="right"/>
    </xf>
    <xf numFmtId="0" fontId="11" fillId="4" borderId="12" xfId="0" applyFont="1" applyFill="1" applyBorder="1" applyAlignment="1">
      <alignment horizontal="center"/>
    </xf>
    <xf numFmtId="0" fontId="11" fillId="4" borderId="2" xfId="0" applyFont="1" applyFill="1" applyBorder="1" applyAlignment="1">
      <alignment horizontal="right"/>
    </xf>
    <xf numFmtId="0" fontId="11" fillId="4" borderId="8" xfId="0" applyFont="1" applyFill="1" applyBorder="1" applyAlignment="1">
      <alignment horizontal="right"/>
    </xf>
    <xf numFmtId="0" fontId="11" fillId="4" borderId="27" xfId="0" applyFont="1" applyFill="1" applyBorder="1" applyAlignment="1">
      <alignment horizontal="center"/>
    </xf>
    <xf numFmtId="0" fontId="11" fillId="4" borderId="0" xfId="0" applyFont="1" applyFill="1" applyBorder="1" applyAlignment="1">
      <alignment horizontal="right"/>
    </xf>
    <xf numFmtId="0" fontId="11" fillId="4" borderId="25" xfId="0" applyFont="1" applyFill="1" applyBorder="1" applyAlignment="1">
      <alignment horizontal="right"/>
    </xf>
    <xf numFmtId="0" fontId="8" fillId="0" borderId="9" xfId="0" applyFont="1" applyBorder="1" applyAlignment="1">
      <alignment horizontal="center"/>
    </xf>
    <xf numFmtId="0" fontId="11" fillId="4" borderId="14" xfId="0" applyFont="1" applyFill="1" applyBorder="1" applyAlignment="1">
      <alignment horizontal="right"/>
    </xf>
    <xf numFmtId="0" fontId="8" fillId="0" borderId="10" xfId="0" applyFont="1" applyBorder="1" applyAlignment="1">
      <alignment horizontal="center"/>
    </xf>
    <xf numFmtId="6" fontId="8" fillId="5" borderId="11" xfId="0" applyNumberFormat="1" applyFont="1" applyFill="1" applyBorder="1" applyAlignment="1">
      <alignment horizontal="right"/>
    </xf>
    <xf numFmtId="0" fontId="11" fillId="4" borderId="27" xfId="0" applyFont="1" applyFill="1" applyBorder="1" applyAlignment="1">
      <alignment horizontal="center" wrapText="1"/>
    </xf>
    <xf numFmtId="0" fontId="11" fillId="4" borderId="0" xfId="0" applyFont="1" applyFill="1" applyBorder="1" applyAlignment="1">
      <alignment horizontal="right" wrapText="1"/>
    </xf>
    <xf numFmtId="0" fontId="11" fillId="4" borderId="25" xfId="0" applyFont="1" applyFill="1" applyBorder="1" applyAlignment="1">
      <alignment horizontal="right" wrapText="1"/>
    </xf>
    <xf numFmtId="0" fontId="8" fillId="4" borderId="10" xfId="0" applyFont="1" applyFill="1" applyBorder="1" applyAlignment="1"/>
    <xf numFmtId="167" fontId="8" fillId="4" borderId="11" xfId="0" applyNumberFormat="1" applyFont="1" applyFill="1" applyBorder="1" applyAlignment="1">
      <alignment horizontal="right"/>
    </xf>
    <xf numFmtId="0" fontId="10" fillId="4" borderId="10" xfId="0" applyNumberFormat="1" applyFont="1" applyFill="1" applyBorder="1" applyAlignment="1">
      <alignment horizontal="left" vertical="top" wrapText="1"/>
    </xf>
    <xf numFmtId="44" fontId="10" fillId="4" borderId="11" xfId="0" applyNumberFormat="1" applyFont="1" applyFill="1" applyBorder="1" applyAlignment="1">
      <alignment horizontal="right" vertical="center" wrapText="1"/>
    </xf>
    <xf numFmtId="8" fontId="13" fillId="0" borderId="14" xfId="0" applyNumberFormat="1" applyFont="1" applyBorder="1" applyAlignment="1">
      <alignment wrapText="1"/>
    </xf>
    <xf numFmtId="6" fontId="8" fillId="0" borderId="1" xfId="0" applyNumberFormat="1" applyFont="1" applyBorder="1" applyAlignment="1">
      <alignment horizontal="right"/>
    </xf>
    <xf numFmtId="164" fontId="1" fillId="5" borderId="1" xfId="0" applyNumberFormat="1" applyFont="1" applyFill="1" applyBorder="1" applyAlignment="1" applyProtection="1">
      <alignment horizontal="right"/>
      <protection locked="0"/>
    </xf>
    <xf numFmtId="0" fontId="10" fillId="4" borderId="22" xfId="0" applyNumberFormat="1" applyFont="1" applyFill="1" applyBorder="1" applyAlignment="1">
      <alignment horizontal="left" vertical="top" wrapText="1"/>
    </xf>
    <xf numFmtId="44" fontId="10" fillId="4" borderId="23" xfId="0" applyNumberFormat="1" applyFont="1" applyFill="1" applyBorder="1" applyAlignment="1">
      <alignment vertical="center" wrapText="1"/>
    </xf>
    <xf numFmtId="0" fontId="19" fillId="3" borderId="0" xfId="0"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8" fillId="0" borderId="1" xfId="0" applyFont="1" applyFill="1" applyBorder="1" applyAlignment="1">
      <alignment horizontal="left" wrapText="1"/>
    </xf>
    <xf numFmtId="0" fontId="8" fillId="0" borderId="14" xfId="0" applyFont="1" applyFill="1" applyBorder="1" applyAlignment="1">
      <alignment horizontal="left" wrapText="1"/>
    </xf>
    <xf numFmtId="0" fontId="8" fillId="0" borderId="1" xfId="0" applyFont="1" applyBorder="1" applyAlignment="1">
      <alignment horizontal="left" wrapText="1"/>
    </xf>
    <xf numFmtId="0" fontId="3" fillId="0" borderId="0" xfId="0" applyFont="1" applyBorder="1" applyAlignment="1">
      <alignment horizontal="left" vertical="top" wrapText="1"/>
    </xf>
    <xf numFmtId="0" fontId="15" fillId="4" borderId="6" xfId="0" applyNumberFormat="1" applyFont="1" applyFill="1" applyBorder="1" applyAlignment="1">
      <alignment horizontal="left" vertical="center" wrapText="1"/>
    </xf>
    <xf numFmtId="0" fontId="15" fillId="4" borderId="7" xfId="0" applyNumberFormat="1" applyFont="1" applyFill="1" applyBorder="1" applyAlignment="1">
      <alignment horizontal="left" vertical="center" wrapText="1"/>
    </xf>
    <xf numFmtId="0" fontId="15" fillId="4" borderId="16" xfId="0" applyNumberFormat="1" applyFont="1" applyFill="1" applyBorder="1" applyAlignment="1">
      <alignment horizontal="left" vertical="center" wrapText="1"/>
    </xf>
    <xf numFmtId="0" fontId="18" fillId="4" borderId="1" xfId="0" applyFont="1" applyFill="1" applyBorder="1" applyAlignment="1">
      <alignment horizontal="left"/>
    </xf>
    <xf numFmtId="0" fontId="18" fillId="4" borderId="14" xfId="0" applyFont="1" applyFill="1" applyBorder="1" applyAlignment="1">
      <alignment horizontal="left"/>
    </xf>
    <xf numFmtId="0" fontId="8" fillId="0" borderId="14" xfId="0" applyFont="1" applyBorder="1" applyAlignment="1">
      <alignment horizontal="left" wrapText="1"/>
    </xf>
    <xf numFmtId="0" fontId="9" fillId="0" borderId="1" xfId="0" applyFont="1" applyFill="1" applyBorder="1" applyAlignment="1">
      <alignment horizontal="left" wrapText="1"/>
    </xf>
    <xf numFmtId="0" fontId="9" fillId="0" borderId="14" xfId="0" applyFont="1" applyFill="1" applyBorder="1" applyAlignment="1">
      <alignment horizontal="left" wrapText="1"/>
    </xf>
    <xf numFmtId="0" fontId="9" fillId="0" borderId="1" xfId="0" applyFont="1" applyBorder="1" applyAlignment="1">
      <alignment horizontal="left" wrapText="1"/>
    </xf>
    <xf numFmtId="0" fontId="9" fillId="0" borderId="14" xfId="0" applyFont="1" applyBorder="1" applyAlignment="1">
      <alignment horizontal="left" wrapText="1"/>
    </xf>
    <xf numFmtId="0" fontId="16" fillId="4" borderId="11" xfId="0" applyFont="1" applyFill="1" applyBorder="1" applyAlignment="1">
      <alignment horizontal="left" wrapText="1"/>
    </xf>
    <xf numFmtId="0" fontId="16" fillId="4" borderId="13" xfId="0" applyFont="1" applyFill="1" applyBorder="1" applyAlignment="1">
      <alignment horizontal="left" wrapText="1"/>
    </xf>
    <xf numFmtId="0" fontId="22" fillId="0" borderId="0" xfId="0" applyNumberFormat="1"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wrapText="1"/>
    </xf>
    <xf numFmtId="0" fontId="11" fillId="0" borderId="12" xfId="0" applyFont="1" applyBorder="1" applyAlignment="1">
      <alignment horizontal="right"/>
    </xf>
    <xf numFmtId="0" fontId="11" fillId="0" borderId="2" xfId="0" applyFont="1" applyBorder="1" applyAlignment="1">
      <alignment horizontal="right"/>
    </xf>
    <xf numFmtId="0" fontId="11" fillId="0" borderId="28" xfId="0" applyFont="1" applyBorder="1" applyAlignment="1">
      <alignment horizontal="right"/>
    </xf>
    <xf numFmtId="0" fontId="11" fillId="0" borderId="24" xfId="0" applyFont="1" applyBorder="1" applyAlignment="1">
      <alignment horizontal="right"/>
    </xf>
    <xf numFmtId="0" fontId="11" fillId="0" borderId="0" xfId="0" applyFont="1" applyBorder="1" applyAlignment="1">
      <alignment horizontal="right"/>
    </xf>
    <xf numFmtId="0" fontId="11" fillId="0" borderId="0" xfId="0" applyFont="1" applyAlignment="1">
      <alignment horizontal="right"/>
    </xf>
    <xf numFmtId="0" fontId="11" fillId="4" borderId="7" xfId="0" applyFont="1" applyFill="1" applyBorder="1" applyAlignment="1">
      <alignment horizontal="center"/>
    </xf>
    <xf numFmtId="0" fontId="11" fillId="4" borderId="16" xfId="0" applyFont="1" applyFill="1" applyBorder="1" applyAlignment="1">
      <alignment horizontal="center"/>
    </xf>
    <xf numFmtId="171" fontId="21" fillId="0" borderId="1" xfId="0" applyNumberFormat="1" applyFont="1" applyBorder="1" applyAlignment="1">
      <alignment horizontal="left"/>
    </xf>
    <xf numFmtId="0" fontId="8" fillId="0" borderId="0" xfId="0" applyFont="1" applyBorder="1" applyAlignment="1">
      <alignment horizontal="left" vertical="top" wrapText="1"/>
    </xf>
    <xf numFmtId="0" fontId="0" fillId="0" borderId="0" xfId="0" applyBorder="1" applyAlignment="1"/>
    <xf numFmtId="0" fontId="11" fillId="4" borderId="30" xfId="0" applyFont="1" applyFill="1" applyBorder="1" applyAlignment="1">
      <alignment horizontal="left" wrapText="1"/>
    </xf>
    <xf numFmtId="0" fontId="11" fillId="4" borderId="4" xfId="0" applyFont="1" applyFill="1" applyBorder="1" applyAlignment="1">
      <alignment horizontal="left" wrapText="1"/>
    </xf>
    <xf numFmtId="0" fontId="11" fillId="4" borderId="26" xfId="0" applyFont="1" applyFill="1" applyBorder="1" applyAlignment="1">
      <alignment horizontal="left" wrapText="1"/>
    </xf>
    <xf numFmtId="0" fontId="11" fillId="4" borderId="30" xfId="0" applyFont="1" applyFill="1" applyBorder="1" applyAlignment="1">
      <alignment horizontal="left"/>
    </xf>
    <xf numFmtId="0" fontId="11" fillId="4" borderId="4" xfId="0" applyFont="1" applyFill="1" applyBorder="1" applyAlignment="1">
      <alignment horizontal="left"/>
    </xf>
    <xf numFmtId="0" fontId="11" fillId="4" borderId="26" xfId="0" applyFont="1" applyFill="1" applyBorder="1" applyAlignment="1">
      <alignment horizontal="left"/>
    </xf>
    <xf numFmtId="0" fontId="11" fillId="0" borderId="30" xfId="0" applyFont="1" applyBorder="1" applyAlignment="1">
      <alignment horizontal="center" wrapText="1"/>
    </xf>
    <xf numFmtId="0" fontId="11" fillId="0" borderId="4" xfId="0" applyFont="1" applyBorder="1" applyAlignment="1">
      <alignment horizontal="center" wrapText="1"/>
    </xf>
    <xf numFmtId="0" fontId="11" fillId="0" borderId="26" xfId="0" applyFont="1" applyBorder="1" applyAlignment="1">
      <alignment horizontal="center" wrapText="1"/>
    </xf>
    <xf numFmtId="0" fontId="11" fillId="0" borderId="10" xfId="0" applyFont="1" applyBorder="1" applyAlignment="1">
      <alignment horizontal="right"/>
    </xf>
    <xf numFmtId="0" fontId="11" fillId="0" borderId="11" xfId="0" applyFont="1" applyBorder="1" applyAlignment="1">
      <alignment horizontal="right"/>
    </xf>
    <xf numFmtId="0" fontId="0" fillId="0" borderId="0" xfId="0" applyAlignment="1"/>
    <xf numFmtId="0" fontId="11" fillId="0" borderId="17" xfId="0" applyFont="1" applyBorder="1" applyAlignment="1">
      <alignment horizontal="right"/>
    </xf>
    <xf numFmtId="0" fontId="11" fillId="0" borderId="5" xfId="0" applyFont="1" applyBorder="1" applyAlignment="1">
      <alignment horizontal="right"/>
    </xf>
    <xf numFmtId="0" fontId="11" fillId="4" borderId="9" xfId="0" applyFont="1" applyFill="1" applyBorder="1" applyAlignment="1">
      <alignment horizontal="left"/>
    </xf>
    <xf numFmtId="0" fontId="11" fillId="4" borderId="1" xfId="0" applyFont="1" applyFill="1" applyBorder="1" applyAlignment="1">
      <alignment horizontal="left"/>
    </xf>
    <xf numFmtId="0" fontId="11" fillId="4" borderId="14" xfId="0" applyFont="1" applyFill="1" applyBorder="1" applyAlignment="1">
      <alignment horizontal="left"/>
    </xf>
    <xf numFmtId="0" fontId="11" fillId="4" borderId="9" xfId="0" applyFont="1" applyFill="1" applyBorder="1" applyAlignment="1">
      <alignment horizontal="left" wrapText="1"/>
    </xf>
    <xf numFmtId="0" fontId="11" fillId="4" borderId="1" xfId="0" applyFont="1" applyFill="1" applyBorder="1" applyAlignment="1">
      <alignment horizontal="left" wrapText="1"/>
    </xf>
    <xf numFmtId="0" fontId="11" fillId="4" borderId="14" xfId="0" applyFont="1" applyFill="1" applyBorder="1" applyAlignment="1">
      <alignment horizontal="left" wrapText="1"/>
    </xf>
    <xf numFmtId="0" fontId="0" fillId="0" borderId="0" xfId="0" applyAlignment="1">
      <alignment wrapText="1"/>
    </xf>
    <xf numFmtId="0" fontId="11" fillId="0" borderId="1" xfId="0" applyFont="1" applyBorder="1" applyAlignment="1">
      <alignment horizontal="right"/>
    </xf>
    <xf numFmtId="171" fontId="21" fillId="0" borderId="1" xfId="0" applyNumberFormat="1" applyFont="1" applyBorder="1" applyAlignment="1">
      <alignment horizontal="right"/>
    </xf>
  </cellXfs>
  <cellStyles count="3">
    <cellStyle name="Currency" xfId="1" builtinId="4"/>
    <cellStyle name="Normal" xfId="0" builtinId="0"/>
    <cellStyle name="Percent" xfId="2" builtinId="5"/>
  </cellStyles>
  <dxfs count="6">
    <dxf>
      <font>
        <strike val="0"/>
        <outline val="0"/>
        <shadow val="0"/>
        <u val="none"/>
        <vertAlign val="baseline"/>
        <name val="Calibri"/>
        <scheme val="minor"/>
      </font>
      <numFmt numFmtId="167" formatCode="&quot;$&quot;#,##0"/>
      <alignment horizontal="righ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Helvetica"/>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outline="0">
        <left/>
        <right/>
        <top/>
        <bottom/>
      </border>
      <protection locked="0" hidden="0"/>
    </dxf>
    <dxf>
      <font>
        <strike val="0"/>
        <outline val="0"/>
        <shadow val="0"/>
        <u val="none"/>
        <vertAlign val="baseline"/>
        <name val="Calibri"/>
        <scheme val="minor"/>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Helvetica"/>
        <scheme val="none"/>
      </font>
      <alignment horizontal="general" vertical="bottom" textRotation="0" wrapText="0" indent="0" justifyLastLine="0" shrinkToFit="0" readingOrder="0"/>
      <border diagonalUp="0" diagonalDown="0" outline="0">
        <left/>
        <right/>
        <top/>
        <bottom/>
      </border>
    </dxf>
    <dxf>
      <font>
        <strike val="0"/>
        <outline val="0"/>
        <shadow val="0"/>
        <u val="none"/>
        <vertAlign val="baseline"/>
        <name val="Calibri"/>
        <scheme val="minor"/>
      </font>
    </dxf>
    <dxf>
      <font>
        <strike val="0"/>
        <outline val="0"/>
        <shadow val="0"/>
        <u val="none"/>
        <vertAlign val="baseline"/>
        <name val="Calibri"/>
        <scheme val="minor"/>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E6E6E6"/>
      <rgbColor rgb="00CDCDCD"/>
      <rgbColor rgb="00FFFFFF"/>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8D8D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B37" headerRowCount="0" totalsRowShown="0" headerRowDxfId="5" dataDxfId="4">
  <tableColumns count="2">
    <tableColumn id="1" xr3:uid="{00000000-0010-0000-0000-000001000000}" name="Column1" headerRowDxfId="3" dataDxfId="2"/>
    <tableColumn id="2" xr3:uid="{00000000-0010-0000-0000-000002000000}" name="Column2" headerRowDxfId="1" dataDxfId="0" headerRow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4"/>
  <sheetViews>
    <sheetView tabSelected="1" zoomScaleNormal="100" workbookViewId="0">
      <selection activeCell="B20" sqref="B20"/>
    </sheetView>
  </sheetViews>
  <sheetFormatPr defaultColWidth="11" defaultRowHeight="14.25"/>
  <cols>
    <col min="1" max="1" width="37.125" customWidth="1"/>
    <col min="2" max="2" width="7.125" customWidth="1"/>
    <col min="3" max="3" width="58" customWidth="1"/>
  </cols>
  <sheetData>
    <row r="1" spans="1:3" ht="33" customHeight="1">
      <c r="A1" s="338" t="s">
        <v>65</v>
      </c>
      <c r="B1" s="338"/>
      <c r="C1" s="6"/>
    </row>
    <row r="2" spans="1:3" ht="63.75" customHeight="1" thickBot="1">
      <c r="A2" s="339" t="s">
        <v>183</v>
      </c>
      <c r="B2" s="340"/>
      <c r="C2" s="340"/>
    </row>
    <row r="3" spans="1:3" ht="15.75" thickBot="1">
      <c r="A3" s="156" t="s">
        <v>178</v>
      </c>
      <c r="B3" s="157" t="s">
        <v>179</v>
      </c>
      <c r="C3" s="158" t="s">
        <v>180</v>
      </c>
    </row>
    <row r="4" spans="1:3" ht="15">
      <c r="A4" s="24" t="s">
        <v>10</v>
      </c>
      <c r="B4" s="272">
        <v>0.9</v>
      </c>
      <c r="C4" s="23" t="s">
        <v>68</v>
      </c>
    </row>
    <row r="5" spans="1:3" ht="30">
      <c r="A5" s="17" t="s">
        <v>11</v>
      </c>
      <c r="B5" s="159">
        <v>0.2</v>
      </c>
      <c r="C5" s="132" t="s">
        <v>37</v>
      </c>
    </row>
    <row r="6" spans="1:3" ht="15">
      <c r="A6" s="17" t="s">
        <v>12</v>
      </c>
      <c r="B6" s="160">
        <v>1200</v>
      </c>
      <c r="C6" s="18"/>
    </row>
    <row r="7" spans="1:3" ht="15">
      <c r="A7" s="17" t="s">
        <v>13</v>
      </c>
      <c r="B7" s="161">
        <v>0.9</v>
      </c>
      <c r="C7" s="18"/>
    </row>
    <row r="8" spans="1:3" ht="15">
      <c r="A8" s="273" t="s">
        <v>14</v>
      </c>
      <c r="B8" s="274">
        <v>550</v>
      </c>
      <c r="C8" s="18"/>
    </row>
    <row r="9" spans="1:3" ht="15">
      <c r="A9" s="33"/>
      <c r="B9" s="275"/>
      <c r="C9" s="18"/>
    </row>
    <row r="10" spans="1:3" ht="15">
      <c r="A10" s="19" t="s">
        <v>15</v>
      </c>
      <c r="B10" s="164">
        <v>80</v>
      </c>
      <c r="C10" s="20" t="s">
        <v>117</v>
      </c>
    </row>
    <row r="11" spans="1:3" ht="30">
      <c r="A11" s="19" t="s">
        <v>181</v>
      </c>
      <c r="B11" s="162">
        <v>3.5</v>
      </c>
      <c r="C11" s="20" t="s">
        <v>69</v>
      </c>
    </row>
    <row r="12" spans="1:3" ht="15">
      <c r="A12" s="21" t="s">
        <v>16</v>
      </c>
      <c r="B12" s="163">
        <v>0.15</v>
      </c>
      <c r="C12" s="18" t="s">
        <v>70</v>
      </c>
    </row>
    <row r="13" spans="1:3" ht="15">
      <c r="A13" s="21" t="s">
        <v>17</v>
      </c>
      <c r="B13" s="29">
        <f>B10/(1-B12)</f>
        <v>94.117647058823536</v>
      </c>
      <c r="C13" s="18"/>
    </row>
    <row r="14" spans="1:3" ht="15">
      <c r="A14" s="21"/>
      <c r="B14" s="29"/>
      <c r="C14" s="18"/>
    </row>
    <row r="15" spans="1:3" ht="15">
      <c r="A15" s="19" t="s">
        <v>18</v>
      </c>
      <c r="B15" s="164">
        <v>65</v>
      </c>
      <c r="C15" s="20" t="s">
        <v>222</v>
      </c>
    </row>
    <row r="16" spans="1:3" ht="15">
      <c r="A16" s="19" t="s">
        <v>182</v>
      </c>
      <c r="B16" s="165">
        <v>3</v>
      </c>
      <c r="C16" s="20" t="s">
        <v>71</v>
      </c>
    </row>
    <row r="17" spans="1:3" ht="15">
      <c r="A17" s="21" t="s">
        <v>20</v>
      </c>
      <c r="B17" s="163">
        <v>0.25</v>
      </c>
      <c r="C17" s="18" t="s">
        <v>62</v>
      </c>
    </row>
    <row r="18" spans="1:3" ht="15">
      <c r="A18" s="21" t="s">
        <v>21</v>
      </c>
      <c r="B18" s="29">
        <f>B15/(B16*(1-B17))</f>
        <v>28.888888888888889</v>
      </c>
      <c r="C18" s="18"/>
    </row>
    <row r="19" spans="1:3" ht="15">
      <c r="A19" s="33"/>
      <c r="B19" s="57"/>
      <c r="C19" s="18"/>
    </row>
    <row r="20" spans="1:3" ht="15">
      <c r="A20" s="17" t="s">
        <v>22</v>
      </c>
      <c r="B20" s="276">
        <v>185</v>
      </c>
      <c r="C20" s="18" t="s">
        <v>36</v>
      </c>
    </row>
    <row r="21" spans="1:3" ht="15">
      <c r="A21" s="17" t="s">
        <v>23</v>
      </c>
      <c r="B21" s="25">
        <f>365-B20</f>
        <v>180</v>
      </c>
      <c r="C21" s="18" t="s">
        <v>38</v>
      </c>
    </row>
    <row r="22" spans="1:3" ht="15">
      <c r="A22" s="17" t="s">
        <v>24</v>
      </c>
      <c r="B22" s="166">
        <v>0.03</v>
      </c>
      <c r="C22" s="18" t="s">
        <v>44</v>
      </c>
    </row>
    <row r="23" spans="1:3" ht="15">
      <c r="A23" s="21" t="s">
        <v>25</v>
      </c>
      <c r="B23" s="26">
        <f>B22*B6*B20/2000</f>
        <v>3.33</v>
      </c>
      <c r="C23" s="18" t="s">
        <v>39</v>
      </c>
    </row>
    <row r="24" spans="1:3" ht="15">
      <c r="A24" s="21" t="s">
        <v>26</v>
      </c>
      <c r="B24" s="25">
        <f>B22*B21*B6/2000</f>
        <v>3.2399999999999993</v>
      </c>
      <c r="C24" s="18" t="s">
        <v>40</v>
      </c>
    </row>
    <row r="25" spans="1:3" ht="15">
      <c r="A25" s="17" t="s">
        <v>57</v>
      </c>
      <c r="B25" s="27">
        <f>B23*B18+B24*B10</f>
        <v>355.39999999999992</v>
      </c>
      <c r="C25" s="18"/>
    </row>
    <row r="26" spans="1:3" ht="15">
      <c r="A26" s="17" t="s">
        <v>58</v>
      </c>
      <c r="B26" s="167">
        <v>120</v>
      </c>
      <c r="C26" s="28" t="s">
        <v>63</v>
      </c>
    </row>
    <row r="27" spans="1:3" ht="15">
      <c r="A27" s="17" t="s">
        <v>27</v>
      </c>
      <c r="B27" s="29">
        <f>(B25+B26)/0.65*0.35</f>
        <v>255.98461538461532</v>
      </c>
      <c r="C27" s="18" t="s">
        <v>118</v>
      </c>
    </row>
    <row r="28" spans="1:3" ht="15">
      <c r="A28" s="30" t="s">
        <v>28</v>
      </c>
      <c r="B28" s="31">
        <f>B25+B26+B27</f>
        <v>731.38461538461524</v>
      </c>
      <c r="C28" s="18" t="s">
        <v>41</v>
      </c>
    </row>
    <row r="29" spans="1:3" ht="15">
      <c r="A29" s="17" t="s">
        <v>29</v>
      </c>
      <c r="B29" s="27">
        <f>(B28+B28*B5-B6*B7*B5)/B4</f>
        <v>735.17948717948696</v>
      </c>
      <c r="C29" s="18" t="s">
        <v>42</v>
      </c>
    </row>
    <row r="30" spans="1:3" ht="15">
      <c r="A30" s="17" t="s">
        <v>31</v>
      </c>
      <c r="B30" s="32">
        <f>B29/B8</f>
        <v>1.3366899766899762</v>
      </c>
      <c r="C30" s="18" t="s">
        <v>43</v>
      </c>
    </row>
    <row r="31" spans="1:3" ht="30">
      <c r="A31" s="21" t="s">
        <v>30</v>
      </c>
      <c r="B31" s="26">
        <f>(B24/B11)/(1-B12)+(B23/B16)/(1-B17)</f>
        <v>2.569075630252101</v>
      </c>
      <c r="C31" s="18"/>
    </row>
    <row r="32" spans="1:3" ht="15">
      <c r="A32" s="33"/>
      <c r="B32" s="57"/>
      <c r="C32" s="18"/>
    </row>
    <row r="33" spans="1:3" ht="15">
      <c r="A33" s="33" t="s">
        <v>32</v>
      </c>
      <c r="B33" s="335">
        <v>2.63</v>
      </c>
      <c r="C33" s="18"/>
    </row>
    <row r="34" spans="1:3" ht="15">
      <c r="A34" s="33" t="s">
        <v>33</v>
      </c>
      <c r="B34" s="34">
        <f>B33*B8</f>
        <v>1446.5</v>
      </c>
      <c r="C34" s="18" t="s">
        <v>45</v>
      </c>
    </row>
    <row r="35" spans="1:3" ht="15">
      <c r="A35" s="33" t="s">
        <v>7</v>
      </c>
      <c r="B35" s="34">
        <f>B34-B29</f>
        <v>711.32051282051304</v>
      </c>
      <c r="C35" s="18" t="s">
        <v>64</v>
      </c>
    </row>
    <row r="36" spans="1:3" ht="15">
      <c r="A36" s="33"/>
      <c r="B36" s="34"/>
      <c r="C36" s="18"/>
    </row>
    <row r="37" spans="1:3" ht="15.75" thickBot="1">
      <c r="A37" s="329" t="s">
        <v>223</v>
      </c>
      <c r="B37" s="330">
        <f>B35/B31</f>
        <v>276.8779962895494</v>
      </c>
      <c r="C37" s="277" t="s">
        <v>224</v>
      </c>
    </row>
    <row r="38" spans="1:3" ht="16.5">
      <c r="A38" s="16"/>
      <c r="B38" s="16"/>
      <c r="C38" s="16"/>
    </row>
    <row r="41" spans="1:3">
      <c r="A41" s="4"/>
    </row>
    <row r="42" spans="1:3">
      <c r="A42" s="4"/>
    </row>
    <row r="43" spans="1:3">
      <c r="A43" s="4"/>
    </row>
    <row r="44" spans="1:3">
      <c r="A44" s="4"/>
    </row>
  </sheetData>
  <mergeCells count="2">
    <mergeCell ref="A1:B1"/>
    <mergeCell ref="A2:C2"/>
  </mergeCells>
  <phoneticPr fontId="7" type="noConversion"/>
  <pageMargins left="0.75" right="0.75" top="1" bottom="1" header="0.5" footer="0.5"/>
  <pageSetup scale="80" orientation="portrait" blackAndWhite="1" r:id="rId1"/>
  <headerFooter alignWithMargins="0">
    <oddFooter>&amp;C&amp;G
www.pastureproject.org</oddFooter>
  </headerFooter>
  <legacyDrawingHF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8"/>
  <sheetViews>
    <sheetView zoomScaleNormal="100" workbookViewId="0">
      <selection activeCell="G5" sqref="G5"/>
    </sheetView>
  </sheetViews>
  <sheetFormatPr defaultRowHeight="15"/>
  <cols>
    <col min="1" max="1" width="11.125" style="6" customWidth="1"/>
    <col min="2" max="2" width="7.625" style="7" customWidth="1"/>
    <col min="3" max="3" width="5.5" style="7" customWidth="1"/>
    <col min="4" max="4" width="8.5" style="7" customWidth="1"/>
    <col min="5" max="5" width="6.875" style="7" bestFit="1" customWidth="1"/>
    <col min="6" max="6" width="4.5" style="7" bestFit="1" customWidth="1"/>
    <col min="7" max="7" width="6" style="7" customWidth="1"/>
    <col min="8" max="10" width="8.375" style="7" customWidth="1"/>
    <col min="11" max="11" width="7.25" style="7" bestFit="1" customWidth="1"/>
    <col min="12" max="12" width="8.125" style="7" bestFit="1" customWidth="1"/>
    <col min="13" max="13" width="8.625" style="6" bestFit="1" customWidth="1"/>
    <col min="14" max="14" width="7.125" style="7" customWidth="1"/>
    <col min="15" max="15" width="6" style="7" customWidth="1"/>
    <col min="16" max="16384" width="9" style="6"/>
  </cols>
  <sheetData>
    <row r="1" spans="1:15" ht="24.75" customHeight="1">
      <c r="A1" s="357" t="s">
        <v>218</v>
      </c>
      <c r="B1" s="357"/>
      <c r="C1" s="357"/>
      <c r="D1" s="357"/>
      <c r="E1" s="357"/>
      <c r="F1" s="357"/>
      <c r="G1" s="357"/>
      <c r="H1" s="357"/>
      <c r="I1" s="357"/>
      <c r="J1" s="357"/>
      <c r="K1" s="357"/>
      <c r="L1" s="357"/>
    </row>
    <row r="2" spans="1:15" ht="54" customHeight="1" thickBot="1">
      <c r="A2" s="340" t="s">
        <v>183</v>
      </c>
      <c r="B2" s="340"/>
      <c r="C2" s="340"/>
      <c r="D2" s="340"/>
      <c r="E2" s="340"/>
      <c r="F2" s="340"/>
      <c r="G2" s="340"/>
      <c r="H2" s="340"/>
      <c r="I2" s="340"/>
      <c r="J2" s="340"/>
      <c r="K2" s="340"/>
      <c r="L2" s="340"/>
    </row>
    <row r="3" spans="1:15" s="68" customFormat="1">
      <c r="A3" s="306"/>
      <c r="B3" s="307" t="s">
        <v>137</v>
      </c>
      <c r="C3" s="307"/>
      <c r="D3" s="307"/>
      <c r="E3" s="307"/>
      <c r="F3" s="307"/>
      <c r="G3" s="307" t="s">
        <v>75</v>
      </c>
      <c r="H3" s="307" t="s">
        <v>138</v>
      </c>
      <c r="I3" s="307"/>
      <c r="J3" s="307"/>
      <c r="K3" s="307" t="s">
        <v>143</v>
      </c>
      <c r="L3" s="308" t="s">
        <v>145</v>
      </c>
      <c r="N3" s="8"/>
      <c r="O3" s="8"/>
    </row>
    <row r="4" spans="1:15" s="90" customFormat="1">
      <c r="A4" s="309" t="s">
        <v>147</v>
      </c>
      <c r="B4" s="303" t="s">
        <v>132</v>
      </c>
      <c r="C4" s="303" t="s">
        <v>139</v>
      </c>
      <c r="D4" s="303" t="s">
        <v>133</v>
      </c>
      <c r="E4" s="303" t="s">
        <v>135</v>
      </c>
      <c r="F4" s="303" t="s">
        <v>136</v>
      </c>
      <c r="G4" s="303" t="s">
        <v>134</v>
      </c>
      <c r="H4" s="303" t="s">
        <v>132</v>
      </c>
      <c r="I4" s="303" t="s">
        <v>139</v>
      </c>
      <c r="J4" s="303" t="s">
        <v>140</v>
      </c>
      <c r="K4" s="303" t="s">
        <v>144</v>
      </c>
      <c r="L4" s="310" t="s">
        <v>146</v>
      </c>
      <c r="N4" s="9"/>
      <c r="O4" s="9"/>
    </row>
    <row r="5" spans="1:15">
      <c r="A5" s="33" t="s">
        <v>141</v>
      </c>
      <c r="B5" s="95">
        <v>350</v>
      </c>
      <c r="C5" s="304">
        <v>2.8</v>
      </c>
      <c r="D5" s="128">
        <f>B5*C5</f>
        <v>979.99999999999989</v>
      </c>
      <c r="E5" s="95">
        <v>2</v>
      </c>
      <c r="F5" s="95">
        <v>100</v>
      </c>
      <c r="G5" s="57">
        <f>E5*F5</f>
        <v>200</v>
      </c>
      <c r="H5" s="57">
        <f>B5+G5</f>
        <v>550</v>
      </c>
      <c r="I5" s="304">
        <v>2.25</v>
      </c>
      <c r="J5" s="128">
        <f>H5*I5</f>
        <v>1237.5</v>
      </c>
      <c r="K5" s="128">
        <f>J5-D5</f>
        <v>257.50000000000011</v>
      </c>
      <c r="L5" s="311">
        <f>K5/F5</f>
        <v>2.5750000000000011</v>
      </c>
      <c r="M5" s="123"/>
      <c r="N5" s="123"/>
      <c r="O5" s="123"/>
    </row>
    <row r="6" spans="1:15">
      <c r="A6" s="33"/>
      <c r="B6" s="57"/>
      <c r="C6" s="57"/>
      <c r="D6" s="57"/>
      <c r="E6" s="57"/>
      <c r="F6" s="57"/>
      <c r="G6" s="57"/>
      <c r="H6" s="57"/>
      <c r="I6" s="57"/>
      <c r="J6" s="57"/>
      <c r="K6" s="57"/>
      <c r="L6" s="249"/>
      <c r="M6" s="123"/>
      <c r="N6" s="123"/>
      <c r="O6" s="123"/>
    </row>
    <row r="7" spans="1:15" ht="15.75" thickBot="1">
      <c r="A7" s="80" t="s">
        <v>142</v>
      </c>
      <c r="B7" s="312">
        <v>350</v>
      </c>
      <c r="C7" s="313">
        <v>2.2999999999999998</v>
      </c>
      <c r="D7" s="314">
        <f>B7*C7</f>
        <v>804.99999999999989</v>
      </c>
      <c r="E7" s="312">
        <v>1.8</v>
      </c>
      <c r="F7" s="312">
        <v>100</v>
      </c>
      <c r="G7" s="279">
        <f>E7*F7</f>
        <v>180</v>
      </c>
      <c r="H7" s="279">
        <f>B7+G7</f>
        <v>530</v>
      </c>
      <c r="I7" s="313">
        <v>2.11</v>
      </c>
      <c r="J7" s="314">
        <f>H7*I7</f>
        <v>1118.3</v>
      </c>
      <c r="K7" s="314">
        <f>J7-D7</f>
        <v>313.30000000000007</v>
      </c>
      <c r="L7" s="315">
        <f>K7/F7</f>
        <v>3.1330000000000009</v>
      </c>
      <c r="M7" s="123"/>
      <c r="N7" s="123"/>
      <c r="O7" s="123"/>
    </row>
    <row r="8" spans="1:15">
      <c r="B8" s="123"/>
      <c r="C8" s="123"/>
      <c r="D8" s="123"/>
      <c r="E8" s="123"/>
      <c r="F8" s="123"/>
      <c r="G8" s="123"/>
      <c r="H8" s="123"/>
      <c r="I8" s="123"/>
      <c r="J8" s="123"/>
      <c r="K8" s="123"/>
      <c r="L8" s="123"/>
      <c r="M8" s="123"/>
      <c r="N8" s="123"/>
      <c r="O8" s="123"/>
    </row>
    <row r="9" spans="1:15" ht="15.75" thickBot="1">
      <c r="B9" s="123"/>
      <c r="C9" s="123"/>
      <c r="D9" s="123"/>
      <c r="E9" s="123"/>
      <c r="F9" s="123"/>
      <c r="G9" s="123"/>
      <c r="H9" s="123"/>
      <c r="I9" s="123"/>
      <c r="J9" s="123"/>
      <c r="K9" s="123"/>
      <c r="L9" s="123"/>
      <c r="M9" s="123"/>
      <c r="N9" s="123"/>
      <c r="O9" s="123"/>
    </row>
    <row r="10" spans="1:15" s="68" customFormat="1">
      <c r="A10" s="316"/>
      <c r="B10" s="317"/>
      <c r="C10" s="317"/>
      <c r="D10" s="317" t="s">
        <v>151</v>
      </c>
      <c r="E10" s="317" t="s">
        <v>154</v>
      </c>
      <c r="F10" s="317"/>
      <c r="G10" s="317" t="s">
        <v>163</v>
      </c>
      <c r="H10" s="317" t="s">
        <v>163</v>
      </c>
      <c r="I10" s="317"/>
      <c r="J10" s="318" t="s">
        <v>145</v>
      </c>
      <c r="K10" s="93"/>
      <c r="L10" s="93"/>
      <c r="M10" s="93"/>
      <c r="N10" s="93"/>
      <c r="O10" s="93"/>
    </row>
    <row r="11" spans="1:15" s="90" customFormat="1">
      <c r="A11" s="319" t="s">
        <v>148</v>
      </c>
      <c r="B11" s="320" t="s">
        <v>149</v>
      </c>
      <c r="C11" s="320" t="s">
        <v>150</v>
      </c>
      <c r="D11" s="320" t="s">
        <v>152</v>
      </c>
      <c r="E11" s="320" t="s">
        <v>155</v>
      </c>
      <c r="F11" s="320"/>
      <c r="G11" s="320" t="s">
        <v>139</v>
      </c>
      <c r="H11" s="320" t="s">
        <v>140</v>
      </c>
      <c r="I11" s="320" t="s">
        <v>162</v>
      </c>
      <c r="J11" s="321" t="s">
        <v>146</v>
      </c>
      <c r="K11" s="302"/>
      <c r="L11" s="302"/>
      <c r="M11" s="302"/>
      <c r="N11" s="302"/>
      <c r="O11" s="302"/>
    </row>
    <row r="12" spans="1:15">
      <c r="A12" s="322"/>
      <c r="B12" s="95">
        <v>1100</v>
      </c>
      <c r="C12" s="95" t="s">
        <v>153</v>
      </c>
      <c r="D12" s="95">
        <v>0</v>
      </c>
      <c r="E12" s="95">
        <v>0</v>
      </c>
      <c r="F12" s="57"/>
      <c r="G12" s="304">
        <v>1.1000000000000001</v>
      </c>
      <c r="H12" s="334">
        <f>B12*G12</f>
        <v>1210</v>
      </c>
      <c r="I12" s="57"/>
      <c r="J12" s="323">
        <v>0</v>
      </c>
      <c r="K12" s="123"/>
      <c r="L12" s="123"/>
      <c r="M12" s="123"/>
      <c r="N12" s="123"/>
      <c r="O12" s="123"/>
    </row>
    <row r="13" spans="1:15">
      <c r="A13" s="322"/>
      <c r="B13" s="95">
        <v>1100</v>
      </c>
      <c r="C13" s="95" t="s">
        <v>156</v>
      </c>
      <c r="D13" s="95" t="s">
        <v>157</v>
      </c>
      <c r="E13" s="95">
        <v>90</v>
      </c>
      <c r="F13" s="57"/>
      <c r="G13" s="57"/>
      <c r="H13" s="305">
        <v>1500</v>
      </c>
      <c r="I13" s="128">
        <f>H13-H12</f>
        <v>290</v>
      </c>
      <c r="J13" s="311">
        <f>I13/E13</f>
        <v>3.2222222222222223</v>
      </c>
      <c r="K13" s="123"/>
      <c r="L13" s="123"/>
      <c r="M13" s="123"/>
      <c r="N13" s="123"/>
      <c r="O13" s="123"/>
    </row>
    <row r="14" spans="1:15">
      <c r="A14" s="322"/>
      <c r="B14" s="95">
        <v>1100</v>
      </c>
      <c r="C14" s="95" t="s">
        <v>156</v>
      </c>
      <c r="D14" s="95" t="s">
        <v>158</v>
      </c>
      <c r="E14" s="95">
        <v>160</v>
      </c>
      <c r="F14" s="57"/>
      <c r="G14" s="57"/>
      <c r="H14" s="305">
        <v>1700</v>
      </c>
      <c r="I14" s="128">
        <f>H14-H12</f>
        <v>490</v>
      </c>
      <c r="J14" s="311">
        <f>I14/E14</f>
        <v>3.0625</v>
      </c>
      <c r="K14" s="123"/>
      <c r="L14" s="123"/>
      <c r="M14" s="123"/>
      <c r="N14" s="123"/>
      <c r="O14" s="123"/>
    </row>
    <row r="15" spans="1:15">
      <c r="A15" s="322"/>
      <c r="B15" s="95">
        <v>1100</v>
      </c>
      <c r="C15" s="95" t="s">
        <v>156</v>
      </c>
      <c r="D15" s="95" t="s">
        <v>159</v>
      </c>
      <c r="E15" s="95">
        <v>240</v>
      </c>
      <c r="F15" s="57"/>
      <c r="G15" s="57"/>
      <c r="H15" s="305">
        <v>2200</v>
      </c>
      <c r="I15" s="128">
        <f>H15-H12</f>
        <v>990</v>
      </c>
      <c r="J15" s="311">
        <f>I15/E15</f>
        <v>4.125</v>
      </c>
      <c r="K15" s="123"/>
      <c r="L15" s="123"/>
      <c r="M15" s="123"/>
      <c r="N15" s="123"/>
      <c r="O15" s="123"/>
    </row>
    <row r="16" spans="1:15" ht="15.75" thickBot="1">
      <c r="A16" s="324"/>
      <c r="B16" s="312">
        <v>1100</v>
      </c>
      <c r="C16" s="312" t="s">
        <v>160</v>
      </c>
      <c r="D16" s="312"/>
      <c r="E16" s="312">
        <v>360</v>
      </c>
      <c r="F16" s="279"/>
      <c r="G16" s="279"/>
      <c r="H16" s="325">
        <v>2500</v>
      </c>
      <c r="I16" s="314">
        <f>H16-H12</f>
        <v>1290</v>
      </c>
      <c r="J16" s="315">
        <f>I16/E16</f>
        <v>3.5833333333333335</v>
      </c>
      <c r="K16" s="123"/>
      <c r="L16" s="123"/>
      <c r="M16" s="123"/>
      <c r="N16" s="123"/>
      <c r="O16" s="123"/>
    </row>
    <row r="17" spans="1:15">
      <c r="A17" s="7"/>
      <c r="B17" s="123"/>
      <c r="C17" s="123"/>
      <c r="D17" s="123"/>
      <c r="E17" s="123"/>
      <c r="F17" s="123"/>
      <c r="G17" s="123"/>
      <c r="H17" s="123"/>
      <c r="I17" s="123"/>
      <c r="J17" s="123"/>
      <c r="K17" s="123"/>
      <c r="L17" s="123"/>
      <c r="M17" s="123"/>
      <c r="N17" s="123"/>
      <c r="O17" s="123"/>
    </row>
    <row r="18" spans="1:15" ht="15.75" thickBot="1">
      <c r="A18" s="7"/>
      <c r="B18" s="123"/>
      <c r="C18" s="123"/>
      <c r="D18" s="123"/>
      <c r="E18" s="123"/>
      <c r="F18" s="123"/>
      <c r="G18" s="123"/>
      <c r="H18" s="123"/>
      <c r="I18" s="123"/>
      <c r="J18" s="123"/>
      <c r="K18" s="123"/>
      <c r="L18" s="123"/>
      <c r="M18" s="123"/>
      <c r="N18" s="123"/>
      <c r="O18" s="123"/>
    </row>
    <row r="19" spans="1:15" s="68" customFormat="1">
      <c r="A19" s="316"/>
      <c r="B19" s="317"/>
      <c r="C19" s="317"/>
      <c r="D19" s="317"/>
      <c r="E19" s="317"/>
      <c r="F19" s="317"/>
      <c r="G19" s="317"/>
      <c r="H19" s="317"/>
      <c r="I19" s="317"/>
      <c r="J19" s="317"/>
      <c r="K19" s="317"/>
      <c r="L19" s="317"/>
      <c r="M19" s="317"/>
      <c r="N19" s="317"/>
      <c r="O19" s="318" t="s">
        <v>145</v>
      </c>
    </row>
    <row r="20" spans="1:15" s="90" customFormat="1" ht="28.5" customHeight="1">
      <c r="A20" s="326" t="s">
        <v>205</v>
      </c>
      <c r="B20" s="327" t="s">
        <v>204</v>
      </c>
      <c r="C20" s="320" t="s">
        <v>139</v>
      </c>
      <c r="D20" s="320" t="s">
        <v>140</v>
      </c>
      <c r="E20" s="320" t="s">
        <v>136</v>
      </c>
      <c r="F20" s="320" t="s">
        <v>134</v>
      </c>
      <c r="G20" s="320" t="s">
        <v>206</v>
      </c>
      <c r="H20" s="320" t="s">
        <v>139</v>
      </c>
      <c r="I20" s="320" t="s">
        <v>140</v>
      </c>
      <c r="J20" s="320" t="s">
        <v>150</v>
      </c>
      <c r="K20" s="327" t="s">
        <v>219</v>
      </c>
      <c r="L20" s="327" t="s">
        <v>220</v>
      </c>
      <c r="M20" s="327" t="s">
        <v>221</v>
      </c>
      <c r="N20" s="320" t="s">
        <v>161</v>
      </c>
      <c r="O20" s="328" t="s">
        <v>207</v>
      </c>
    </row>
    <row r="21" spans="1:15">
      <c r="A21" s="322"/>
      <c r="B21" s="95">
        <v>780</v>
      </c>
      <c r="C21" s="304">
        <v>1.95</v>
      </c>
      <c r="D21" s="128">
        <f>B21*C21</f>
        <v>1521</v>
      </c>
      <c r="E21" s="95">
        <v>120</v>
      </c>
      <c r="F21" s="57">
        <f>E21*1.6</f>
        <v>192</v>
      </c>
      <c r="G21" s="57">
        <f>B21+F21</f>
        <v>972</v>
      </c>
      <c r="H21" s="304">
        <v>1.85</v>
      </c>
      <c r="I21" s="128">
        <f>G21*H21</f>
        <v>1798.2</v>
      </c>
      <c r="J21" s="95" t="s">
        <v>153</v>
      </c>
      <c r="K21" s="95">
        <v>0</v>
      </c>
      <c r="L21" s="95">
        <v>120</v>
      </c>
      <c r="M21" s="304">
        <f>I21</f>
        <v>1798.2</v>
      </c>
      <c r="N21" s="128">
        <f>M21-D21</f>
        <v>277.20000000000005</v>
      </c>
      <c r="O21" s="311">
        <f>N21/E21</f>
        <v>2.3100000000000005</v>
      </c>
    </row>
    <row r="22" spans="1:15">
      <c r="A22" s="322"/>
      <c r="B22" s="95">
        <v>780</v>
      </c>
      <c r="C22" s="95"/>
      <c r="D22" s="57"/>
      <c r="E22" s="95"/>
      <c r="F22" s="57"/>
      <c r="G22" s="57"/>
      <c r="H22" s="95"/>
      <c r="I22" s="57"/>
      <c r="J22" s="95" t="s">
        <v>156</v>
      </c>
      <c r="K22" s="95" t="s">
        <v>157</v>
      </c>
      <c r="L22" s="95">
        <v>120</v>
      </c>
      <c r="M22" s="305">
        <v>2200</v>
      </c>
      <c r="N22" s="128">
        <f>M22-M21</f>
        <v>401.79999999999995</v>
      </c>
      <c r="O22" s="311">
        <f>N22/L22</f>
        <v>3.3483333333333332</v>
      </c>
    </row>
    <row r="23" spans="1:15">
      <c r="A23" s="322"/>
      <c r="B23" s="95">
        <v>780</v>
      </c>
      <c r="C23" s="95"/>
      <c r="D23" s="57"/>
      <c r="E23" s="95"/>
      <c r="F23" s="57"/>
      <c r="G23" s="57"/>
      <c r="H23" s="95"/>
      <c r="I23" s="57"/>
      <c r="J23" s="95" t="s">
        <v>156</v>
      </c>
      <c r="K23" s="95" t="s">
        <v>158</v>
      </c>
      <c r="L23" s="95">
        <v>180</v>
      </c>
      <c r="M23" s="305">
        <v>2400</v>
      </c>
      <c r="N23" s="128">
        <f>M23-M21</f>
        <v>601.79999999999995</v>
      </c>
      <c r="O23" s="311">
        <f>N23/L23</f>
        <v>3.3433333333333333</v>
      </c>
    </row>
    <row r="24" spans="1:15" ht="15.75" thickBot="1">
      <c r="A24" s="324"/>
      <c r="B24" s="312">
        <v>780</v>
      </c>
      <c r="C24" s="312"/>
      <c r="D24" s="279"/>
      <c r="E24" s="312"/>
      <c r="F24" s="279"/>
      <c r="G24" s="279"/>
      <c r="H24" s="312"/>
      <c r="I24" s="279"/>
      <c r="J24" s="312" t="s">
        <v>156</v>
      </c>
      <c r="K24" s="312" t="s">
        <v>159</v>
      </c>
      <c r="L24" s="312">
        <v>240</v>
      </c>
      <c r="M24" s="325">
        <v>2600</v>
      </c>
      <c r="N24" s="314">
        <f>M24-M21</f>
        <v>801.8</v>
      </c>
      <c r="O24" s="315">
        <f>N24/L24</f>
        <v>3.3408333333333333</v>
      </c>
    </row>
    <row r="25" spans="1:15">
      <c r="A25" s="7"/>
    </row>
    <row r="26" spans="1:15">
      <c r="A26" s="7"/>
    </row>
    <row r="27" spans="1:15">
      <c r="A27" s="7"/>
    </row>
    <row r="28" spans="1:15">
      <c r="A28" s="7"/>
    </row>
  </sheetData>
  <mergeCells count="2">
    <mergeCell ref="A1:L1"/>
    <mergeCell ref="A2:L2"/>
  </mergeCells>
  <pageMargins left="0.7" right="0.7" top="0.75" bottom="0.75" header="0.3" footer="0.3"/>
  <pageSetup orientation="landscape" horizontalDpi="1200" verticalDpi="1200" r:id="rId1"/>
  <headerFooter>
    <oddFooter>&amp;C&amp;G
www.pastureproject.org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37"/>
  <sheetViews>
    <sheetView zoomScaleNormal="100" workbookViewId="0">
      <selection activeCell="B36" sqref="B36"/>
    </sheetView>
  </sheetViews>
  <sheetFormatPr defaultColWidth="11" defaultRowHeight="15"/>
  <cols>
    <col min="1" max="1" width="34.5" customWidth="1"/>
    <col min="2" max="2" width="8.25" style="6" bestFit="1" customWidth="1"/>
    <col min="3" max="3" width="40.25" customWidth="1"/>
  </cols>
  <sheetData>
    <row r="1" spans="1:9" ht="22.5" customHeight="1">
      <c r="A1" s="40" t="s">
        <v>127</v>
      </c>
      <c r="D1" s="1"/>
      <c r="E1" s="1"/>
      <c r="F1" s="1"/>
      <c r="G1" s="1"/>
    </row>
    <row r="2" spans="1:9" ht="51" customHeight="1" thickBot="1">
      <c r="A2" s="339" t="s">
        <v>183</v>
      </c>
      <c r="B2" s="340"/>
      <c r="C2" s="340"/>
      <c r="D2" s="14"/>
      <c r="E2" s="14"/>
      <c r="F2" s="14"/>
      <c r="G2" s="2"/>
    </row>
    <row r="3" spans="1:9">
      <c r="A3" s="151" t="s">
        <v>178</v>
      </c>
      <c r="B3" s="152" t="s">
        <v>179</v>
      </c>
      <c r="C3" s="153" t="s">
        <v>180</v>
      </c>
      <c r="D3" s="14"/>
      <c r="E3" s="14"/>
      <c r="F3" s="14"/>
      <c r="G3" s="14"/>
      <c r="H3" s="14"/>
      <c r="I3" s="14"/>
    </row>
    <row r="4" spans="1:9" s="36" customFormat="1">
      <c r="A4" s="129" t="s">
        <v>9</v>
      </c>
      <c r="B4" s="139">
        <v>3.16</v>
      </c>
      <c r="C4" s="130" t="s">
        <v>130</v>
      </c>
      <c r="D4" s="2"/>
      <c r="E4" s="2"/>
      <c r="F4" s="2"/>
      <c r="G4" s="2"/>
    </row>
    <row r="5" spans="1:9">
      <c r="A5" s="129" t="s">
        <v>48</v>
      </c>
      <c r="B5" s="140">
        <v>400</v>
      </c>
      <c r="C5" s="130" t="s">
        <v>129</v>
      </c>
      <c r="D5" s="2"/>
      <c r="E5" s="2"/>
      <c r="F5" s="2"/>
      <c r="G5" s="2"/>
    </row>
    <row r="6" spans="1:9">
      <c r="A6" s="129" t="s">
        <v>0</v>
      </c>
      <c r="B6" s="41">
        <f>B5*B4</f>
        <v>1264</v>
      </c>
      <c r="C6" s="131" t="s">
        <v>47</v>
      </c>
      <c r="D6" s="2"/>
      <c r="E6" s="2"/>
      <c r="F6" s="2"/>
      <c r="G6" s="2"/>
    </row>
    <row r="7" spans="1:9">
      <c r="A7" s="129"/>
      <c r="B7" s="42"/>
      <c r="C7" s="132"/>
      <c r="D7" s="2"/>
      <c r="E7" s="2"/>
      <c r="F7" s="2"/>
      <c r="G7" s="2"/>
    </row>
    <row r="8" spans="1:9">
      <c r="A8" s="129" t="s">
        <v>1</v>
      </c>
      <c r="B8" s="141">
        <v>750</v>
      </c>
      <c r="C8" s="132"/>
      <c r="D8" s="2"/>
      <c r="E8" s="2"/>
      <c r="F8" s="2"/>
      <c r="G8" s="2"/>
    </row>
    <row r="9" spans="1:9">
      <c r="A9" s="129" t="s">
        <v>2</v>
      </c>
      <c r="B9" s="44">
        <f>(B8+B5)/2</f>
        <v>575</v>
      </c>
      <c r="C9" s="132"/>
      <c r="D9" s="2"/>
      <c r="E9" s="2"/>
      <c r="F9" s="2"/>
      <c r="G9" s="2"/>
    </row>
    <row r="10" spans="1:9">
      <c r="A10" s="129"/>
      <c r="B10" s="45"/>
      <c r="C10" s="132"/>
      <c r="D10" s="2"/>
      <c r="E10" s="2"/>
      <c r="F10" s="2"/>
      <c r="G10" s="2"/>
    </row>
    <row r="11" spans="1:9" ht="30">
      <c r="A11" s="129" t="s">
        <v>34</v>
      </c>
      <c r="B11" s="142">
        <v>2.1</v>
      </c>
      <c r="C11" s="132" t="s">
        <v>35</v>
      </c>
      <c r="D11" s="2"/>
      <c r="E11" s="2"/>
      <c r="F11" s="2"/>
      <c r="G11" s="2"/>
    </row>
    <row r="12" spans="1:9">
      <c r="A12" s="129" t="s">
        <v>3</v>
      </c>
      <c r="B12" s="44">
        <f>(B8-B5)/B11</f>
        <v>166.66666666666666</v>
      </c>
      <c r="C12" s="132"/>
      <c r="D12" s="2"/>
      <c r="E12" s="2"/>
      <c r="F12" s="2"/>
      <c r="G12" s="2"/>
    </row>
    <row r="13" spans="1:9">
      <c r="A13" s="129" t="s">
        <v>51</v>
      </c>
      <c r="B13" s="143">
        <v>3.2000000000000001E-2</v>
      </c>
      <c r="C13" s="132"/>
    </row>
    <row r="14" spans="1:9" s="36" customFormat="1">
      <c r="A14" s="129" t="s">
        <v>4</v>
      </c>
      <c r="B14" s="46">
        <f>B9*B13*B12/2000</f>
        <v>1.5333333333333334</v>
      </c>
      <c r="C14" s="132"/>
      <c r="D14" s="15"/>
      <c r="E14" s="15"/>
      <c r="F14" s="15"/>
      <c r="G14" s="15"/>
      <c r="H14" s="15"/>
      <c r="I14" s="15"/>
    </row>
    <row r="15" spans="1:9">
      <c r="A15" s="129"/>
      <c r="B15" s="47"/>
      <c r="C15" s="132"/>
    </row>
    <row r="16" spans="1:9">
      <c r="A16" s="129" t="s">
        <v>15</v>
      </c>
      <c r="B16" s="144">
        <v>80</v>
      </c>
      <c r="C16" s="133" t="s">
        <v>108</v>
      </c>
    </row>
    <row r="17" spans="1:44">
      <c r="A17" s="129" t="s">
        <v>52</v>
      </c>
      <c r="B17" s="145">
        <v>3.5</v>
      </c>
      <c r="C17" s="132" t="s">
        <v>69</v>
      </c>
    </row>
    <row r="18" spans="1:44" ht="16.5" customHeight="1">
      <c r="A18" s="129" t="s">
        <v>16</v>
      </c>
      <c r="B18" s="146">
        <v>0.15</v>
      </c>
      <c r="C18" s="132" t="s">
        <v>61</v>
      </c>
    </row>
    <row r="19" spans="1:44" s="10" customFormat="1">
      <c r="A19" s="129" t="s">
        <v>17</v>
      </c>
      <c r="B19" s="48">
        <f>B16/(1-B18)</f>
        <v>94.117647058823536</v>
      </c>
      <c r="C19" s="132"/>
      <c r="D19" s="37"/>
      <c r="E19" s="37"/>
      <c r="F19" s="37"/>
      <c r="G19" s="37"/>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row>
    <row r="20" spans="1:44" ht="30">
      <c r="A20" s="134" t="s">
        <v>18</v>
      </c>
      <c r="B20" s="144">
        <v>65</v>
      </c>
      <c r="C20" s="135" t="s">
        <v>109</v>
      </c>
    </row>
    <row r="21" spans="1:44">
      <c r="A21" s="129" t="s">
        <v>19</v>
      </c>
      <c r="B21" s="147">
        <v>3</v>
      </c>
      <c r="C21" s="132" t="s">
        <v>71</v>
      </c>
    </row>
    <row r="22" spans="1:44" ht="15" customHeight="1">
      <c r="A22" s="129" t="s">
        <v>20</v>
      </c>
      <c r="B22" s="146">
        <v>0.25</v>
      </c>
      <c r="C22" s="132" t="s">
        <v>62</v>
      </c>
    </row>
    <row r="23" spans="1:44">
      <c r="A23" s="129" t="s">
        <v>21</v>
      </c>
      <c r="B23" s="48">
        <f>B20/(B21*(1-B22))</f>
        <v>28.888888888888889</v>
      </c>
      <c r="C23" s="132"/>
      <c r="D23" s="3"/>
      <c r="E23" s="3"/>
      <c r="F23" s="3"/>
      <c r="G23" s="3"/>
      <c r="H23" s="3"/>
    </row>
    <row r="24" spans="1:44" ht="15.75" customHeight="1">
      <c r="A24" s="129" t="s">
        <v>50</v>
      </c>
      <c r="B24" s="49">
        <f>(B19+B23)/2</f>
        <v>61.503267973856211</v>
      </c>
      <c r="C24" s="132" t="s">
        <v>49</v>
      </c>
      <c r="D24" s="3"/>
      <c r="E24" s="3"/>
      <c r="F24" s="3"/>
      <c r="G24" s="3"/>
      <c r="H24" s="3"/>
    </row>
    <row r="25" spans="1:44" ht="16.5" customHeight="1">
      <c r="A25" s="129" t="s">
        <v>59</v>
      </c>
      <c r="B25" s="49">
        <f>B9*B13*B12*B24/2000</f>
        <v>94.305010893246205</v>
      </c>
      <c r="C25" s="132"/>
      <c r="D25" s="13"/>
      <c r="E25" s="13"/>
      <c r="F25" s="13"/>
      <c r="G25" s="13"/>
      <c r="H25" s="3"/>
    </row>
    <row r="26" spans="1:44">
      <c r="A26" s="129" t="s">
        <v>60</v>
      </c>
      <c r="B26" s="148">
        <v>120</v>
      </c>
      <c r="C26" s="131" t="s">
        <v>63</v>
      </c>
      <c r="D26" s="12"/>
      <c r="E26" s="12"/>
      <c r="F26" s="12"/>
      <c r="G26" s="12"/>
      <c r="H26" s="3"/>
    </row>
    <row r="27" spans="1:44">
      <c r="A27" s="129" t="s">
        <v>53</v>
      </c>
      <c r="B27" s="149">
        <v>202</v>
      </c>
      <c r="C27" s="130" t="s">
        <v>110</v>
      </c>
      <c r="D27" s="3"/>
      <c r="E27" s="3"/>
      <c r="F27" s="3"/>
      <c r="G27" s="3"/>
      <c r="H27" s="3"/>
    </row>
    <row r="28" spans="1:44">
      <c r="A28" s="129" t="s">
        <v>131</v>
      </c>
      <c r="B28" s="50">
        <f>B25+B26+B27</f>
        <v>416.30501089324622</v>
      </c>
      <c r="C28" s="130"/>
      <c r="D28" s="3"/>
      <c r="E28" s="3"/>
      <c r="F28" s="3"/>
      <c r="G28" s="3"/>
      <c r="H28" s="3"/>
    </row>
    <row r="29" spans="1:44" s="10" customFormat="1" ht="15.75" customHeight="1">
      <c r="A29" s="136" t="s">
        <v>5</v>
      </c>
      <c r="B29" s="51">
        <f>B27+B25+B26+B6</f>
        <v>1680.3050108932462</v>
      </c>
      <c r="C29" s="132" t="s">
        <v>54</v>
      </c>
      <c r="D29" s="39"/>
      <c r="E29" s="39"/>
      <c r="F29" s="39"/>
      <c r="G29" s="39"/>
      <c r="H29" s="39"/>
      <c r="I29" s="38"/>
      <c r="J29" s="38"/>
      <c r="K29" s="38"/>
      <c r="L29" s="38"/>
      <c r="M29" s="38"/>
      <c r="N29" s="38"/>
      <c r="O29" s="38"/>
      <c r="P29" s="38"/>
      <c r="Q29" s="38"/>
      <c r="R29" s="38"/>
      <c r="S29" s="38"/>
      <c r="T29" s="38"/>
      <c r="U29" s="38"/>
      <c r="V29" s="38"/>
      <c r="W29" s="38"/>
      <c r="X29" s="38"/>
      <c r="Y29" s="38"/>
      <c r="Z29" s="38"/>
      <c r="AA29" s="38"/>
      <c r="AB29" s="38"/>
      <c r="AC29" s="38"/>
    </row>
    <row r="30" spans="1:44">
      <c r="A30" s="129"/>
      <c r="B30" s="49"/>
      <c r="C30" s="132"/>
      <c r="D30" s="3"/>
      <c r="E30" s="3"/>
      <c r="F30" s="3"/>
      <c r="G30" s="11"/>
      <c r="H30" s="3"/>
    </row>
    <row r="31" spans="1:44">
      <c r="A31" s="134" t="s">
        <v>6</v>
      </c>
      <c r="B31" s="150">
        <v>2.0499999999999998</v>
      </c>
      <c r="C31" s="137"/>
      <c r="D31" s="39"/>
      <c r="E31" s="39"/>
      <c r="F31" s="39"/>
      <c r="G31" s="39"/>
      <c r="H31" s="39"/>
      <c r="I31" s="38"/>
      <c r="J31" s="38"/>
      <c r="K31" s="38"/>
      <c r="L31" s="38"/>
      <c r="M31" s="38"/>
      <c r="N31" s="38"/>
      <c r="O31" s="38"/>
      <c r="P31" s="38"/>
      <c r="Q31" s="38"/>
      <c r="R31" s="38"/>
      <c r="S31" s="38"/>
      <c r="T31" s="38"/>
      <c r="U31" s="38"/>
      <c r="V31" s="38"/>
      <c r="W31" s="38"/>
      <c r="X31" s="38"/>
      <c r="Y31" s="38"/>
      <c r="Z31" s="38"/>
      <c r="AA31" s="38"/>
      <c r="AB31" s="38"/>
      <c r="AC31" s="38"/>
      <c r="AD31" s="38"/>
    </row>
    <row r="32" spans="1:44" s="10" customFormat="1">
      <c r="A32" s="136" t="s">
        <v>55</v>
      </c>
      <c r="B32" s="51">
        <f>B31*B8</f>
        <v>1537.4999999999998</v>
      </c>
      <c r="C32" s="131"/>
      <c r="D32" s="39"/>
      <c r="E32" s="39"/>
      <c r="F32" s="39"/>
      <c r="G32" s="39"/>
      <c r="H32" s="39"/>
      <c r="I32" s="38"/>
      <c r="J32" s="38"/>
      <c r="K32" s="38"/>
      <c r="L32" s="38"/>
      <c r="M32" s="38"/>
      <c r="N32" s="38"/>
      <c r="O32" s="38"/>
      <c r="P32" s="38"/>
      <c r="Q32" s="38"/>
      <c r="R32" s="38"/>
      <c r="S32" s="38"/>
      <c r="T32" s="38"/>
      <c r="U32" s="38"/>
      <c r="V32" s="38"/>
      <c r="W32" s="38"/>
      <c r="X32" s="38"/>
      <c r="Y32" s="38"/>
      <c r="Z32" s="38"/>
      <c r="AA32" s="38"/>
      <c r="AB32" s="38"/>
      <c r="AC32" s="38"/>
      <c r="AD32" s="38"/>
    </row>
    <row r="33" spans="1:8" ht="9.75" customHeight="1">
      <c r="A33" s="129"/>
      <c r="B33" s="49"/>
      <c r="C33" s="132"/>
      <c r="D33" s="3"/>
      <c r="E33" s="3"/>
      <c r="F33" s="3"/>
      <c r="G33" s="3"/>
      <c r="H33" s="3"/>
    </row>
    <row r="34" spans="1:8" ht="16.5" customHeight="1">
      <c r="A34" s="138" t="s">
        <v>7</v>
      </c>
      <c r="B34" s="52">
        <f>B32-B29</f>
        <v>-142.80501089324639</v>
      </c>
      <c r="C34" s="137" t="s">
        <v>64</v>
      </c>
      <c r="D34" s="3"/>
      <c r="E34" s="3"/>
      <c r="F34" s="3"/>
      <c r="G34" s="3"/>
      <c r="H34" s="3"/>
    </row>
    <row r="35" spans="1:8" ht="16.5" customHeight="1">
      <c r="A35" s="129" t="s">
        <v>184</v>
      </c>
      <c r="B35" s="53">
        <f>B14/((B21*(1-B22)+B17*(1-B18))/2)</f>
        <v>0.58692185007974484</v>
      </c>
      <c r="C35" s="132"/>
    </row>
    <row r="36" spans="1:8" ht="8.25" customHeight="1">
      <c r="A36" s="129"/>
      <c r="B36" s="53"/>
      <c r="C36" s="132"/>
    </row>
    <row r="37" spans="1:8" ht="15.75" thickBot="1">
      <c r="A37" s="331" t="s">
        <v>8</v>
      </c>
      <c r="B37" s="332">
        <f>B34/B35</f>
        <v>-243.31179845126491</v>
      </c>
      <c r="C37" s="155" t="s">
        <v>46</v>
      </c>
    </row>
  </sheetData>
  <mergeCells count="1">
    <mergeCell ref="A2:C2"/>
  </mergeCells>
  <pageMargins left="0.7" right="0.7" top="0.75" bottom="0.75" header="0.3" footer="0.3"/>
  <pageSetup orientation="portrait" r:id="rId1"/>
  <headerFooter>
    <oddFooter>&amp;C&amp;G
&amp;"-,Regular"www.pastureproject.org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H36"/>
  <sheetViews>
    <sheetView zoomScaleNormal="100" workbookViewId="0"/>
  </sheetViews>
  <sheetFormatPr defaultColWidth="11" defaultRowHeight="15"/>
  <cols>
    <col min="1" max="1" width="32" style="6" customWidth="1"/>
    <col min="2" max="2" width="7.875" style="6" bestFit="1" customWidth="1"/>
    <col min="3" max="3" width="42.125" style="6" customWidth="1"/>
    <col min="4" max="6" width="11" style="6" hidden="1" customWidth="1"/>
    <col min="7" max="7" width="0.25" style="6" hidden="1" customWidth="1"/>
    <col min="8" max="12" width="11" style="6" hidden="1" customWidth="1"/>
    <col min="13" max="16384" width="11" style="6"/>
  </cols>
  <sheetData>
    <row r="1" spans="1:9" s="35" customFormat="1" ht="22.5" customHeight="1">
      <c r="A1" s="40" t="s">
        <v>66</v>
      </c>
      <c r="D1" s="61"/>
      <c r="E1" s="61"/>
      <c r="F1" s="61"/>
      <c r="G1" s="61"/>
    </row>
    <row r="2" spans="1:9" s="35" customFormat="1" ht="57.75" customHeight="1" thickBot="1">
      <c r="A2" s="344" t="s">
        <v>183</v>
      </c>
      <c r="B2" s="340"/>
      <c r="C2" s="340"/>
      <c r="D2" s="61"/>
      <c r="E2" s="61"/>
      <c r="F2" s="61"/>
      <c r="G2" s="61"/>
    </row>
    <row r="3" spans="1:9">
      <c r="A3" s="192" t="s">
        <v>178</v>
      </c>
      <c r="B3" s="193" t="s">
        <v>179</v>
      </c>
      <c r="C3" s="193" t="s">
        <v>180</v>
      </c>
      <c r="D3" s="175"/>
      <c r="E3" s="175"/>
      <c r="F3" s="175"/>
      <c r="G3" s="175"/>
      <c r="H3" s="175"/>
      <c r="I3" s="176"/>
    </row>
    <row r="4" spans="1:9">
      <c r="A4" s="129" t="s">
        <v>9</v>
      </c>
      <c r="B4" s="194">
        <v>2.33</v>
      </c>
      <c r="C4" s="168" t="s">
        <v>185</v>
      </c>
      <c r="D4" s="169"/>
      <c r="E4" s="169"/>
      <c r="F4" s="169"/>
      <c r="G4" s="169"/>
      <c r="H4" s="168"/>
      <c r="I4" s="132"/>
    </row>
    <row r="5" spans="1:9" ht="16.5" customHeight="1">
      <c r="A5" s="129" t="s">
        <v>48</v>
      </c>
      <c r="B5" s="140">
        <v>700</v>
      </c>
      <c r="C5" s="168" t="s">
        <v>191</v>
      </c>
      <c r="D5" s="169"/>
      <c r="E5" s="169"/>
      <c r="F5" s="169"/>
      <c r="G5" s="169"/>
      <c r="H5" s="168"/>
      <c r="I5" s="132"/>
    </row>
    <row r="6" spans="1:9" s="35" customFormat="1">
      <c r="A6" s="129" t="s">
        <v>0</v>
      </c>
      <c r="B6" s="177">
        <f>B5*B4</f>
        <v>1631</v>
      </c>
      <c r="C6" s="170" t="s">
        <v>47</v>
      </c>
      <c r="D6" s="169"/>
      <c r="E6" s="169"/>
      <c r="F6" s="169"/>
      <c r="G6" s="169"/>
      <c r="H6" s="170"/>
      <c r="I6" s="131"/>
    </row>
    <row r="7" spans="1:9">
      <c r="A7" s="129" t="s">
        <v>1</v>
      </c>
      <c r="B7" s="195">
        <v>1200</v>
      </c>
      <c r="C7" s="168"/>
      <c r="D7" s="169"/>
      <c r="E7" s="169"/>
      <c r="F7" s="169"/>
      <c r="G7" s="169"/>
      <c r="H7" s="168"/>
      <c r="I7" s="132"/>
    </row>
    <row r="8" spans="1:9">
      <c r="A8" s="129" t="s">
        <v>2</v>
      </c>
      <c r="B8" s="178">
        <f>(B7+B5)/2</f>
        <v>950</v>
      </c>
      <c r="C8" s="168"/>
      <c r="D8" s="169"/>
      <c r="E8" s="169"/>
      <c r="F8" s="169"/>
      <c r="G8" s="169"/>
      <c r="H8" s="168"/>
      <c r="I8" s="132"/>
    </row>
    <row r="9" spans="1:9" ht="16.5" customHeight="1">
      <c r="A9" s="129" t="s">
        <v>34</v>
      </c>
      <c r="B9" s="196">
        <v>2.4</v>
      </c>
      <c r="C9" s="168" t="s">
        <v>192</v>
      </c>
      <c r="D9" s="169"/>
      <c r="E9" s="169"/>
      <c r="F9" s="169"/>
      <c r="G9" s="169"/>
      <c r="H9" s="168"/>
      <c r="I9" s="132"/>
    </row>
    <row r="10" spans="1:9">
      <c r="A10" s="129" t="s">
        <v>3</v>
      </c>
      <c r="B10" s="178">
        <f>(B7-B5)/B9</f>
        <v>208.33333333333334</v>
      </c>
      <c r="C10" s="168"/>
      <c r="D10" s="169"/>
      <c r="E10" s="169"/>
      <c r="F10" s="169"/>
      <c r="G10" s="169"/>
      <c r="H10" s="168"/>
      <c r="I10" s="132"/>
    </row>
    <row r="11" spans="1:9">
      <c r="A11" s="129" t="s">
        <v>51</v>
      </c>
      <c r="B11" s="197">
        <v>3.2000000000000001E-2</v>
      </c>
      <c r="C11" s="168"/>
      <c r="D11" s="169"/>
      <c r="E11" s="169"/>
      <c r="F11" s="169"/>
      <c r="G11" s="169"/>
      <c r="H11" s="168"/>
      <c r="I11" s="132"/>
    </row>
    <row r="12" spans="1:9">
      <c r="A12" s="129" t="s">
        <v>4</v>
      </c>
      <c r="B12" s="180">
        <f>B8*B11*B10/2000</f>
        <v>3.166666666666667</v>
      </c>
      <c r="C12" s="168"/>
      <c r="D12" s="169"/>
      <c r="E12" s="169"/>
      <c r="F12" s="169"/>
      <c r="G12" s="169"/>
      <c r="H12" s="168"/>
      <c r="I12" s="132"/>
    </row>
    <row r="13" spans="1:9" ht="9.75" customHeight="1">
      <c r="A13" s="129"/>
      <c r="B13" s="168"/>
      <c r="C13" s="168"/>
      <c r="D13" s="168"/>
      <c r="E13" s="168"/>
      <c r="F13" s="168"/>
      <c r="G13" s="168"/>
      <c r="H13" s="168"/>
      <c r="I13" s="132"/>
    </row>
    <row r="14" spans="1:9">
      <c r="A14" s="129" t="s">
        <v>15</v>
      </c>
      <c r="B14" s="198">
        <v>80</v>
      </c>
      <c r="C14" s="341" t="s">
        <v>108</v>
      </c>
      <c r="D14" s="341"/>
      <c r="E14" s="341"/>
      <c r="F14" s="341"/>
      <c r="G14" s="341"/>
      <c r="H14" s="341"/>
      <c r="I14" s="342"/>
    </row>
    <row r="15" spans="1:9">
      <c r="A15" s="129" t="s">
        <v>52</v>
      </c>
      <c r="B15" s="199">
        <v>3.5</v>
      </c>
      <c r="C15" s="168" t="s">
        <v>69</v>
      </c>
      <c r="D15" s="168"/>
      <c r="E15" s="168"/>
      <c r="F15" s="168"/>
      <c r="G15" s="168"/>
      <c r="H15" s="168"/>
      <c r="I15" s="132"/>
    </row>
    <row r="16" spans="1:9" ht="30">
      <c r="A16" s="129" t="s">
        <v>16</v>
      </c>
      <c r="B16" s="200">
        <v>0.15</v>
      </c>
      <c r="C16" s="168" t="s">
        <v>61</v>
      </c>
      <c r="D16" s="168"/>
      <c r="E16" s="168"/>
      <c r="F16" s="168"/>
      <c r="G16" s="168"/>
      <c r="H16" s="168"/>
      <c r="I16" s="132"/>
    </row>
    <row r="17" spans="1:138">
      <c r="A17" s="129" t="s">
        <v>17</v>
      </c>
      <c r="B17" s="181">
        <f>B14/(1-B16)</f>
        <v>94.117647058823536</v>
      </c>
      <c r="C17" s="168"/>
      <c r="D17" s="168"/>
      <c r="E17" s="168"/>
      <c r="F17" s="168"/>
      <c r="G17" s="168"/>
      <c r="H17" s="168"/>
      <c r="I17" s="132"/>
    </row>
    <row r="18" spans="1:138" s="64" customFormat="1">
      <c r="A18" s="129" t="s">
        <v>18</v>
      </c>
      <c r="B18" s="198">
        <v>65</v>
      </c>
      <c r="C18" s="341" t="s">
        <v>109</v>
      </c>
      <c r="D18" s="341"/>
      <c r="E18" s="341"/>
      <c r="F18" s="341"/>
      <c r="G18" s="341"/>
      <c r="H18" s="170"/>
      <c r="I18" s="131"/>
      <c r="J18" s="35"/>
      <c r="K18" s="35"/>
      <c r="L18" s="35"/>
      <c r="M18" s="35"/>
      <c r="N18" s="35"/>
      <c r="O18" s="35"/>
      <c r="P18" s="35"/>
      <c r="Q18" s="35"/>
      <c r="R18" s="35"/>
      <c r="S18" s="35"/>
      <c r="T18" s="35"/>
      <c r="U18" s="35"/>
      <c r="V18" s="35"/>
      <c r="W18" s="35"/>
      <c r="X18" s="35"/>
      <c r="Y18" s="35"/>
      <c r="Z18" s="35"/>
      <c r="AA18" s="35"/>
      <c r="AB18" s="35"/>
      <c r="AC18" s="35"/>
      <c r="AD18" s="35"/>
      <c r="AE18" s="35"/>
      <c r="AF18" s="35"/>
      <c r="AG18" s="35"/>
    </row>
    <row r="19" spans="1:138">
      <c r="A19" s="129" t="s">
        <v>19</v>
      </c>
      <c r="B19" s="201">
        <v>3</v>
      </c>
      <c r="C19" s="168" t="s">
        <v>71</v>
      </c>
      <c r="D19" s="168"/>
      <c r="E19" s="168"/>
      <c r="F19" s="168"/>
      <c r="G19" s="168"/>
      <c r="H19" s="168"/>
      <c r="I19" s="132"/>
    </row>
    <row r="20" spans="1:138" ht="30">
      <c r="A20" s="129" t="s">
        <v>20</v>
      </c>
      <c r="B20" s="200">
        <v>0.25</v>
      </c>
      <c r="C20" s="168" t="s">
        <v>194</v>
      </c>
      <c r="D20" s="168"/>
      <c r="E20" s="168"/>
      <c r="F20" s="168"/>
      <c r="G20" s="168"/>
      <c r="H20" s="168"/>
      <c r="I20" s="132"/>
    </row>
    <row r="21" spans="1:138">
      <c r="A21" s="129" t="s">
        <v>21</v>
      </c>
      <c r="B21" s="181">
        <f>B18/(B19*(1-B20))</f>
        <v>28.888888888888889</v>
      </c>
      <c r="C21" s="168"/>
      <c r="D21" s="168"/>
      <c r="E21" s="168"/>
      <c r="F21" s="168"/>
      <c r="G21" s="168"/>
      <c r="H21" s="168"/>
      <c r="I21" s="132"/>
    </row>
    <row r="22" spans="1:138" ht="15" customHeight="1">
      <c r="A22" s="129" t="s">
        <v>187</v>
      </c>
      <c r="B22" s="182">
        <f>(B17+B21)/2</f>
        <v>61.503267973856211</v>
      </c>
      <c r="C22" s="168" t="s">
        <v>186</v>
      </c>
      <c r="D22" s="168"/>
      <c r="E22" s="168"/>
      <c r="F22" s="168"/>
      <c r="G22" s="168"/>
      <c r="H22" s="168"/>
      <c r="I22" s="132"/>
    </row>
    <row r="23" spans="1:138" ht="31.5" customHeight="1">
      <c r="A23" s="129" t="s">
        <v>197</v>
      </c>
      <c r="B23" s="182">
        <f>B8*B11*B10*B22/2000</f>
        <v>194.76034858387803</v>
      </c>
      <c r="C23" s="168"/>
      <c r="D23" s="168"/>
      <c r="E23" s="168"/>
      <c r="F23" s="168"/>
      <c r="G23" s="168"/>
      <c r="H23" s="168"/>
      <c r="I23" s="132"/>
    </row>
    <row r="24" spans="1:138">
      <c r="A24" s="129" t="s">
        <v>60</v>
      </c>
      <c r="B24" s="202">
        <v>120</v>
      </c>
      <c r="C24" s="170" t="s">
        <v>63</v>
      </c>
      <c r="D24" s="168"/>
      <c r="E24" s="168"/>
      <c r="F24" s="168"/>
      <c r="G24" s="168"/>
      <c r="H24" s="168"/>
      <c r="I24" s="132"/>
    </row>
    <row r="25" spans="1:138">
      <c r="A25" s="129" t="s">
        <v>53</v>
      </c>
      <c r="B25" s="203">
        <v>102</v>
      </c>
      <c r="C25" s="343" t="s">
        <v>110</v>
      </c>
      <c r="D25" s="343"/>
      <c r="E25" s="343"/>
      <c r="F25" s="343"/>
      <c r="G25" s="343"/>
      <c r="H25" s="168"/>
      <c r="I25" s="132"/>
    </row>
    <row r="26" spans="1:138">
      <c r="A26" s="136" t="s">
        <v>5</v>
      </c>
      <c r="B26" s="183">
        <f>B25+B23+B24+B6</f>
        <v>2047.7603485838781</v>
      </c>
      <c r="C26" s="168" t="s">
        <v>193</v>
      </c>
      <c r="D26" s="168"/>
      <c r="E26" s="168"/>
      <c r="F26" s="168"/>
      <c r="G26" s="168"/>
      <c r="H26" s="171">
        <f>B26-B6</f>
        <v>416.76034858387811</v>
      </c>
      <c r="I26" s="132"/>
    </row>
    <row r="27" spans="1:138" ht="7.5" customHeight="1">
      <c r="A27" s="129"/>
      <c r="B27" s="182"/>
      <c r="C27" s="168"/>
      <c r="D27" s="168"/>
      <c r="E27" s="168"/>
      <c r="F27" s="168"/>
      <c r="G27" s="168"/>
      <c r="H27" s="168"/>
      <c r="I27" s="132"/>
    </row>
    <row r="28" spans="1:138" s="64" customFormat="1">
      <c r="A28" s="129" t="s">
        <v>6</v>
      </c>
      <c r="B28" s="204">
        <v>3.15</v>
      </c>
      <c r="C28" s="170" t="s">
        <v>190</v>
      </c>
      <c r="D28" s="170"/>
      <c r="E28" s="170"/>
      <c r="F28" s="170"/>
      <c r="G28" s="170"/>
      <c r="H28" s="170"/>
      <c r="I28" s="131"/>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row>
    <row r="29" spans="1:138" s="64" customFormat="1">
      <c r="A29" s="129" t="s">
        <v>177</v>
      </c>
      <c r="B29" s="205">
        <v>0.57999999999999996</v>
      </c>
      <c r="C29" s="341" t="s">
        <v>168</v>
      </c>
      <c r="D29" s="341"/>
      <c r="E29" s="341"/>
      <c r="F29" s="341"/>
      <c r="G29" s="170"/>
      <c r="H29" s="170"/>
      <c r="I29" s="131"/>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row>
    <row r="30" spans="1:138">
      <c r="A30" s="136" t="s">
        <v>55</v>
      </c>
      <c r="B30" s="183">
        <f>B28*B7*0.58</f>
        <v>2192.3999999999996</v>
      </c>
      <c r="C30" s="170" t="s">
        <v>188</v>
      </c>
      <c r="D30" s="168"/>
      <c r="E30" s="168"/>
      <c r="F30" s="168"/>
      <c r="G30" s="172"/>
      <c r="H30" s="168"/>
      <c r="I30" s="132"/>
    </row>
    <row r="31" spans="1:138" ht="8.25" customHeight="1">
      <c r="A31" s="129"/>
      <c r="B31" s="182"/>
      <c r="C31" s="168"/>
      <c r="D31" s="168"/>
      <c r="E31" s="168"/>
      <c r="F31" s="168"/>
      <c r="G31" s="168"/>
      <c r="H31" s="168"/>
      <c r="I31" s="132"/>
    </row>
    <row r="32" spans="1:138" s="35" customFormat="1">
      <c r="A32" s="136" t="s">
        <v>7</v>
      </c>
      <c r="B32" s="184">
        <f>B30-B26</f>
        <v>144.63965141612152</v>
      </c>
      <c r="C32" s="170" t="s">
        <v>189</v>
      </c>
      <c r="D32" s="170"/>
      <c r="E32" s="170"/>
      <c r="F32" s="170"/>
      <c r="G32" s="170"/>
      <c r="H32" s="170"/>
      <c r="I32" s="131"/>
    </row>
    <row r="33" spans="1:9" ht="8.25" customHeight="1">
      <c r="A33" s="129"/>
      <c r="B33" s="179"/>
      <c r="C33" s="168"/>
      <c r="D33" s="168"/>
      <c r="E33" s="168"/>
      <c r="F33" s="168"/>
      <c r="G33" s="168"/>
      <c r="H33" s="168"/>
      <c r="I33" s="132"/>
    </row>
    <row r="34" spans="1:9">
      <c r="A34" s="129" t="s">
        <v>195</v>
      </c>
      <c r="B34" s="185">
        <f>B12/((B19*(1-B20)+B15*(1-B16))/2)</f>
        <v>1.2121212121212124</v>
      </c>
      <c r="C34" s="168" t="s">
        <v>196</v>
      </c>
      <c r="D34" s="168"/>
      <c r="E34" s="168"/>
      <c r="F34" s="168"/>
      <c r="G34" s="168"/>
      <c r="H34" s="168"/>
      <c r="I34" s="132"/>
    </row>
    <row r="35" spans="1:9" ht="15.75" thickBot="1">
      <c r="A35" s="186"/>
      <c r="B35" s="187"/>
      <c r="C35" s="188"/>
      <c r="D35" s="188"/>
      <c r="E35" s="188"/>
      <c r="F35" s="188"/>
      <c r="G35" s="188"/>
      <c r="H35" s="188"/>
      <c r="I35" s="189"/>
    </row>
    <row r="36" spans="1:9" ht="15.75" thickBot="1">
      <c r="A36" s="336" t="s">
        <v>8</v>
      </c>
      <c r="B36" s="337">
        <f>B32/B34</f>
        <v>119.32771241830024</v>
      </c>
      <c r="C36" s="191" t="s">
        <v>46</v>
      </c>
      <c r="D36" s="190"/>
      <c r="E36" s="173"/>
      <c r="F36" s="173"/>
      <c r="G36" s="173"/>
      <c r="H36" s="173"/>
      <c r="I36" s="174"/>
    </row>
  </sheetData>
  <mergeCells count="5">
    <mergeCell ref="C14:I14"/>
    <mergeCell ref="C18:G18"/>
    <mergeCell ref="C25:G25"/>
    <mergeCell ref="C29:F29"/>
    <mergeCell ref="A2:C2"/>
  </mergeCells>
  <pageMargins left="0.75" right="0.75" top="1" bottom="1" header="0.5" footer="0.5"/>
  <pageSetup orientation="portrait" r:id="rId1"/>
  <headerFooter alignWithMargins="0">
    <oddFooter>&amp;C&amp;G
www.pastureproject.org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5"/>
  <sheetViews>
    <sheetView zoomScaleNormal="100" workbookViewId="0">
      <selection activeCell="K48" sqref="K48"/>
    </sheetView>
  </sheetViews>
  <sheetFormatPr defaultColWidth="11" defaultRowHeight="15"/>
  <cols>
    <col min="1" max="1" width="26.75" style="6" customWidth="1"/>
    <col min="2" max="2" width="7.875" style="6" customWidth="1"/>
    <col min="3" max="3" width="6.5" style="6" customWidth="1"/>
    <col min="4" max="4" width="7.125" style="6" customWidth="1"/>
    <col min="5" max="5" width="8.75" style="6" customWidth="1"/>
    <col min="6" max="6" width="25.25" style="6" customWidth="1"/>
    <col min="7" max="16384" width="11" style="6"/>
  </cols>
  <sheetData>
    <row r="1" spans="1:12" ht="27" customHeight="1">
      <c r="A1" s="357" t="s">
        <v>67</v>
      </c>
      <c r="B1" s="357"/>
      <c r="C1" s="357"/>
      <c r="D1" s="357"/>
      <c r="E1" s="357"/>
      <c r="F1" s="357"/>
      <c r="G1" s="61"/>
    </row>
    <row r="2" spans="1:12" ht="54.75" customHeight="1" thickBot="1">
      <c r="A2" s="358" t="s">
        <v>183</v>
      </c>
      <c r="B2" s="358"/>
      <c r="C2" s="358"/>
      <c r="D2" s="358"/>
      <c r="E2" s="358"/>
      <c r="F2" s="358"/>
      <c r="G2" s="61"/>
    </row>
    <row r="3" spans="1:12">
      <c r="A3" s="345" t="s">
        <v>73</v>
      </c>
      <c r="B3" s="346"/>
      <c r="C3" s="346"/>
      <c r="D3" s="346"/>
      <c r="E3" s="346"/>
      <c r="F3" s="347"/>
      <c r="G3" s="62"/>
      <c r="H3" s="62"/>
      <c r="I3" s="62"/>
    </row>
    <row r="4" spans="1:12">
      <c r="A4" s="218" t="s">
        <v>178</v>
      </c>
      <c r="B4" s="219" t="s">
        <v>179</v>
      </c>
      <c r="C4" s="348" t="s">
        <v>180</v>
      </c>
      <c r="D4" s="348"/>
      <c r="E4" s="348"/>
      <c r="F4" s="349"/>
      <c r="G4" s="63"/>
    </row>
    <row r="5" spans="1:12" ht="15" customHeight="1">
      <c r="A5" s="129" t="s">
        <v>9</v>
      </c>
      <c r="B5" s="206">
        <v>2.63</v>
      </c>
      <c r="C5" s="343" t="s">
        <v>202</v>
      </c>
      <c r="D5" s="343"/>
      <c r="E5" s="343"/>
      <c r="F5" s="350"/>
      <c r="G5" s="65"/>
      <c r="H5" s="65"/>
      <c r="I5" s="65"/>
      <c r="J5" s="65"/>
      <c r="K5" s="65"/>
      <c r="L5" s="65"/>
    </row>
    <row r="6" spans="1:12" ht="15" customHeight="1">
      <c r="A6" s="129" t="s">
        <v>48</v>
      </c>
      <c r="B6" s="207">
        <v>550</v>
      </c>
      <c r="C6" s="343" t="s">
        <v>191</v>
      </c>
      <c r="D6" s="343"/>
      <c r="E6" s="343"/>
      <c r="F6" s="350"/>
      <c r="G6" s="63"/>
    </row>
    <row r="7" spans="1:12" ht="30.75" customHeight="1">
      <c r="A7" s="129" t="s">
        <v>0</v>
      </c>
      <c r="B7" s="54">
        <f>B6*B5</f>
        <v>1446.5</v>
      </c>
      <c r="C7" s="353" t="s">
        <v>216</v>
      </c>
      <c r="D7" s="353"/>
      <c r="E7" s="353"/>
      <c r="F7" s="354"/>
      <c r="G7" s="63"/>
    </row>
    <row r="8" spans="1:12">
      <c r="A8" s="129" t="s">
        <v>1</v>
      </c>
      <c r="B8" s="208">
        <v>1200</v>
      </c>
      <c r="C8" s="343"/>
      <c r="D8" s="343"/>
      <c r="E8" s="343"/>
      <c r="F8" s="350"/>
      <c r="G8" s="63"/>
    </row>
    <row r="9" spans="1:12" ht="30">
      <c r="A9" s="129" t="s">
        <v>2</v>
      </c>
      <c r="B9" s="55">
        <f>(B8+B6)/2</f>
        <v>875</v>
      </c>
      <c r="C9" s="343"/>
      <c r="D9" s="343"/>
      <c r="E9" s="343"/>
      <c r="F9" s="350"/>
      <c r="G9" s="63"/>
    </row>
    <row r="10" spans="1:12" ht="30" customHeight="1">
      <c r="A10" s="129" t="s">
        <v>34</v>
      </c>
      <c r="B10" s="209">
        <v>2.1</v>
      </c>
      <c r="C10" s="343" t="s">
        <v>35</v>
      </c>
      <c r="D10" s="343"/>
      <c r="E10" s="343"/>
      <c r="F10" s="350"/>
      <c r="G10" s="63"/>
    </row>
    <row r="11" spans="1:12">
      <c r="A11" s="129" t="s">
        <v>3</v>
      </c>
      <c r="B11" s="55">
        <f>(B8-B6)/B10</f>
        <v>309.52380952380952</v>
      </c>
      <c r="C11" s="343"/>
      <c r="D11" s="343"/>
      <c r="E11" s="343"/>
      <c r="F11" s="350"/>
      <c r="G11" s="63"/>
    </row>
    <row r="12" spans="1:12">
      <c r="A12" s="129" t="s">
        <v>51</v>
      </c>
      <c r="B12" s="210">
        <v>3.2000000000000001E-2</v>
      </c>
      <c r="C12" s="343"/>
      <c r="D12" s="343"/>
      <c r="E12" s="343"/>
      <c r="F12" s="350"/>
    </row>
    <row r="13" spans="1:12">
      <c r="A13" s="129" t="s">
        <v>4</v>
      </c>
      <c r="B13" s="56">
        <f>(B9*B12*B11)/2000</f>
        <v>4.333333333333333</v>
      </c>
      <c r="C13" s="343"/>
      <c r="D13" s="343"/>
      <c r="E13" s="343"/>
      <c r="F13" s="350"/>
      <c r="G13" s="65"/>
      <c r="H13" s="65"/>
      <c r="I13" s="65"/>
    </row>
    <row r="14" spans="1:12" ht="15.75" customHeight="1">
      <c r="A14" s="129" t="s">
        <v>15</v>
      </c>
      <c r="B14" s="164">
        <v>80</v>
      </c>
      <c r="C14" s="343" t="s">
        <v>217</v>
      </c>
      <c r="D14" s="343"/>
      <c r="E14" s="343"/>
      <c r="F14" s="350"/>
    </row>
    <row r="15" spans="1:12" ht="18.75" customHeight="1">
      <c r="A15" s="129" t="s">
        <v>52</v>
      </c>
      <c r="B15" s="162">
        <v>3.5</v>
      </c>
      <c r="C15" s="343" t="s">
        <v>69</v>
      </c>
      <c r="D15" s="343"/>
      <c r="E15" s="343"/>
      <c r="F15" s="350"/>
    </row>
    <row r="16" spans="1:12" ht="28.5" customHeight="1">
      <c r="A16" s="129" t="s">
        <v>16</v>
      </c>
      <c r="B16" s="163">
        <v>0.15</v>
      </c>
      <c r="C16" s="343" t="s">
        <v>61</v>
      </c>
      <c r="D16" s="343"/>
      <c r="E16" s="343"/>
      <c r="F16" s="350"/>
    </row>
    <row r="17" spans="1:11">
      <c r="A17" s="129" t="s">
        <v>17</v>
      </c>
      <c r="B17" s="29">
        <f>B14/(1-B16)</f>
        <v>94.117647058823536</v>
      </c>
      <c r="C17" s="343"/>
      <c r="D17" s="343"/>
      <c r="E17" s="343"/>
      <c r="F17" s="350"/>
      <c r="G17" s="65"/>
    </row>
    <row r="18" spans="1:11" ht="30.75" customHeight="1">
      <c r="A18" s="129" t="s">
        <v>18</v>
      </c>
      <c r="B18" s="164">
        <v>65</v>
      </c>
      <c r="C18" s="343" t="s">
        <v>111</v>
      </c>
      <c r="D18" s="343"/>
      <c r="E18" s="343"/>
      <c r="F18" s="350"/>
    </row>
    <row r="19" spans="1:11" ht="19.5" customHeight="1">
      <c r="A19" s="129" t="s">
        <v>19</v>
      </c>
      <c r="B19" s="165">
        <v>3</v>
      </c>
      <c r="C19" s="343" t="s">
        <v>71</v>
      </c>
      <c r="D19" s="343"/>
      <c r="E19" s="343"/>
      <c r="F19" s="350"/>
    </row>
    <row r="20" spans="1:11" ht="31.5" customHeight="1">
      <c r="A20" s="129" t="s">
        <v>20</v>
      </c>
      <c r="B20" s="163">
        <v>0.25</v>
      </c>
      <c r="C20" s="343" t="s">
        <v>62</v>
      </c>
      <c r="D20" s="343"/>
      <c r="E20" s="343"/>
      <c r="F20" s="350"/>
    </row>
    <row r="21" spans="1:11" ht="30">
      <c r="A21" s="129" t="s">
        <v>21</v>
      </c>
      <c r="B21" s="29">
        <f>B18/(B19*(1-B20))</f>
        <v>28.888888888888889</v>
      </c>
      <c r="C21" s="343"/>
      <c r="D21" s="343"/>
      <c r="E21" s="343"/>
      <c r="F21" s="350"/>
      <c r="G21" s="22"/>
      <c r="H21" s="22"/>
    </row>
    <row r="22" spans="1:11" ht="28.5" customHeight="1">
      <c r="A22" s="129" t="s">
        <v>50</v>
      </c>
      <c r="B22" s="58">
        <f>(B17+B21)/2</f>
        <v>61.503267973856211</v>
      </c>
      <c r="C22" s="343" t="s">
        <v>49</v>
      </c>
      <c r="D22" s="343"/>
      <c r="E22" s="343"/>
      <c r="F22" s="350"/>
      <c r="G22" s="22"/>
      <c r="H22" s="22"/>
    </row>
    <row r="23" spans="1:11" ht="30">
      <c r="A23" s="129" t="s">
        <v>214</v>
      </c>
      <c r="B23" s="58">
        <f>B9*B12*B11*B22/2000</f>
        <v>266.51416122004355</v>
      </c>
      <c r="C23" s="343"/>
      <c r="D23" s="343"/>
      <c r="E23" s="343"/>
      <c r="F23" s="350"/>
      <c r="G23" s="65"/>
      <c r="H23" s="22"/>
    </row>
    <row r="24" spans="1:11" ht="15" customHeight="1">
      <c r="A24" s="129" t="s">
        <v>60</v>
      </c>
      <c r="B24" s="211">
        <v>120</v>
      </c>
      <c r="C24" s="341" t="s">
        <v>63</v>
      </c>
      <c r="D24" s="341"/>
      <c r="E24" s="341"/>
      <c r="F24" s="342"/>
      <c r="G24" s="22"/>
      <c r="H24" s="66"/>
    </row>
    <row r="25" spans="1:11" ht="15" customHeight="1">
      <c r="A25" s="129" t="s">
        <v>53</v>
      </c>
      <c r="B25" s="212">
        <v>102</v>
      </c>
      <c r="C25" s="343" t="s">
        <v>210</v>
      </c>
      <c r="D25" s="343"/>
      <c r="E25" s="343"/>
      <c r="F25" s="350"/>
      <c r="G25" s="22"/>
      <c r="H25" s="22"/>
    </row>
    <row r="26" spans="1:11" ht="15" customHeight="1">
      <c r="A26" s="136" t="s">
        <v>5</v>
      </c>
      <c r="B26" s="59">
        <f>B25+B23+B24+B7</f>
        <v>1935.0141612200437</v>
      </c>
      <c r="C26" s="343" t="s">
        <v>211</v>
      </c>
      <c r="D26" s="343"/>
      <c r="E26" s="343"/>
      <c r="F26" s="350"/>
      <c r="G26" s="67"/>
      <c r="H26" s="67"/>
    </row>
    <row r="27" spans="1:11" ht="15" customHeight="1">
      <c r="A27" s="129" t="s">
        <v>6</v>
      </c>
      <c r="B27" s="213">
        <v>3.15</v>
      </c>
      <c r="C27" s="351" t="s">
        <v>198</v>
      </c>
      <c r="D27" s="351"/>
      <c r="E27" s="351"/>
      <c r="F27" s="352"/>
      <c r="G27" s="22"/>
      <c r="H27" s="22"/>
    </row>
    <row r="28" spans="1:11" ht="15" customHeight="1">
      <c r="A28" s="129" t="s">
        <v>177</v>
      </c>
      <c r="B28" s="214">
        <v>0.57999999999999996</v>
      </c>
      <c r="C28" s="341" t="s">
        <v>168</v>
      </c>
      <c r="D28" s="341"/>
      <c r="E28" s="341"/>
      <c r="F28" s="342"/>
      <c r="G28" s="22"/>
      <c r="H28" s="22"/>
    </row>
    <row r="29" spans="1:11" ht="15" customHeight="1">
      <c r="A29" s="136" t="s">
        <v>55</v>
      </c>
      <c r="B29" s="59">
        <f>B27*B8*B28</f>
        <v>2192.3999999999996</v>
      </c>
      <c r="C29" s="341" t="s">
        <v>56</v>
      </c>
      <c r="D29" s="341"/>
      <c r="E29" s="341"/>
      <c r="F29" s="342"/>
      <c r="G29" s="65"/>
      <c r="H29" s="65"/>
      <c r="I29" s="65"/>
      <c r="J29" s="65"/>
      <c r="K29" s="65"/>
    </row>
    <row r="30" spans="1:11" ht="27.75" customHeight="1">
      <c r="A30" s="136" t="s">
        <v>7</v>
      </c>
      <c r="B30" s="60">
        <f>B29-B26</f>
        <v>257.38583877995598</v>
      </c>
      <c r="C30" s="353" t="s">
        <v>213</v>
      </c>
      <c r="D30" s="353"/>
      <c r="E30" s="353"/>
      <c r="F30" s="354"/>
      <c r="G30" s="22"/>
      <c r="H30" s="22"/>
    </row>
    <row r="31" spans="1:11" ht="15" customHeight="1">
      <c r="A31" s="129" t="s">
        <v>200</v>
      </c>
      <c r="B31" s="271">
        <f>B13/((B19*(1-B20)+B15*(1-B16))/2)</f>
        <v>1.6586921850079746</v>
      </c>
      <c r="C31" s="343" t="s">
        <v>201</v>
      </c>
      <c r="D31" s="343"/>
      <c r="E31" s="343"/>
      <c r="F31" s="350"/>
      <c r="G31" s="91"/>
      <c r="H31" s="91"/>
      <c r="I31" s="91"/>
    </row>
    <row r="32" spans="1:11" ht="29.25" customHeight="1" thickBot="1">
      <c r="A32" s="154" t="s">
        <v>8</v>
      </c>
      <c r="B32" s="220">
        <f>(B30/B31)</f>
        <v>155.17396241830036</v>
      </c>
      <c r="C32" s="355" t="s">
        <v>199</v>
      </c>
      <c r="D32" s="355"/>
      <c r="E32" s="355"/>
      <c r="F32" s="356"/>
      <c r="G32" s="91"/>
      <c r="H32" s="91"/>
      <c r="I32" s="91"/>
    </row>
    <row r="33" spans="1:11" ht="15.75" thickBot="1"/>
    <row r="34" spans="1:11">
      <c r="A34" s="345" t="s">
        <v>72</v>
      </c>
      <c r="B34" s="346"/>
      <c r="C34" s="346"/>
      <c r="D34" s="346"/>
      <c r="E34" s="346"/>
      <c r="F34" s="347"/>
    </row>
    <row r="35" spans="1:11" ht="37.5" customHeight="1" thickBot="1">
      <c r="A35" s="215" t="s">
        <v>178</v>
      </c>
      <c r="B35" s="238" t="s">
        <v>208</v>
      </c>
      <c r="C35" s="237" t="s">
        <v>209</v>
      </c>
      <c r="D35" s="224" t="s">
        <v>212</v>
      </c>
      <c r="E35" s="239" t="s">
        <v>215</v>
      </c>
      <c r="F35" s="225" t="s">
        <v>180</v>
      </c>
    </row>
    <row r="36" spans="1:11" ht="29.25" customHeight="1">
      <c r="A36" s="226" t="s">
        <v>74</v>
      </c>
      <c r="B36" s="227">
        <v>3.8</v>
      </c>
      <c r="C36" s="228">
        <v>30</v>
      </c>
      <c r="D36" s="227">
        <f>B36*C36</f>
        <v>114</v>
      </c>
      <c r="E36" s="227">
        <f>D36/6</f>
        <v>19</v>
      </c>
      <c r="F36" s="229" t="s">
        <v>166</v>
      </c>
      <c r="G36" s="43"/>
      <c r="H36" s="43"/>
      <c r="I36" s="43"/>
      <c r="J36" s="91"/>
      <c r="K36" s="91"/>
    </row>
    <row r="37" spans="1:11">
      <c r="A37" s="129" t="s">
        <v>76</v>
      </c>
      <c r="B37" s="230">
        <v>65</v>
      </c>
      <c r="C37" s="73"/>
      <c r="D37" s="73"/>
      <c r="E37" s="230">
        <v>65</v>
      </c>
      <c r="F37" s="132" t="s">
        <v>167</v>
      </c>
      <c r="G37" s="43"/>
      <c r="H37" s="43"/>
      <c r="I37" s="43"/>
    </row>
    <row r="38" spans="1:11" ht="45">
      <c r="A38" s="129" t="s">
        <v>77</v>
      </c>
      <c r="B38" s="231">
        <v>0.6</v>
      </c>
      <c r="C38" s="73">
        <f>B8*B28</f>
        <v>696</v>
      </c>
      <c r="D38" s="73"/>
      <c r="E38" s="231">
        <f>B38*C38</f>
        <v>417.59999999999997</v>
      </c>
      <c r="F38" s="132" t="s">
        <v>172</v>
      </c>
      <c r="G38" s="43"/>
      <c r="H38" s="43"/>
      <c r="I38" s="43"/>
    </row>
    <row r="39" spans="1:11">
      <c r="A39" s="136" t="s">
        <v>80</v>
      </c>
      <c r="B39" s="231"/>
      <c r="C39" s="73"/>
      <c r="D39" s="73"/>
      <c r="E39" s="232">
        <f>E36+E37+E38</f>
        <v>501.59999999999997</v>
      </c>
      <c r="F39" s="132"/>
      <c r="G39" s="43"/>
      <c r="H39" s="43"/>
      <c r="I39" s="43"/>
    </row>
    <row r="40" spans="1:11" ht="42.75" customHeight="1">
      <c r="A40" s="129" t="s">
        <v>78</v>
      </c>
      <c r="B40" s="231">
        <v>0.02</v>
      </c>
      <c r="C40" s="73">
        <f>C38*0.7</f>
        <v>487.2</v>
      </c>
      <c r="D40" s="73"/>
      <c r="E40" s="231">
        <f>B40*C40</f>
        <v>9.7439999999999998</v>
      </c>
      <c r="F40" s="130" t="s">
        <v>173</v>
      </c>
      <c r="G40" s="216"/>
      <c r="H40" s="216"/>
      <c r="I40" s="216"/>
    </row>
    <row r="41" spans="1:11">
      <c r="A41" s="129" t="s">
        <v>79</v>
      </c>
      <c r="B41" s="231">
        <v>2.5000000000000001E-2</v>
      </c>
      <c r="C41" s="73">
        <f>C40</f>
        <v>487.2</v>
      </c>
      <c r="D41" s="73"/>
      <c r="E41" s="231">
        <f>B41*C41</f>
        <v>12.18</v>
      </c>
      <c r="F41" s="132"/>
      <c r="G41" s="43"/>
      <c r="H41" s="43"/>
      <c r="I41" s="43"/>
    </row>
    <row r="42" spans="1:11" ht="30">
      <c r="A42" s="129" t="s">
        <v>81</v>
      </c>
      <c r="B42" s="73"/>
      <c r="C42" s="73"/>
      <c r="D42" s="73"/>
      <c r="E42" s="230">
        <v>50</v>
      </c>
      <c r="F42" s="132"/>
      <c r="G42" s="43"/>
      <c r="H42" s="43"/>
      <c r="I42" s="43"/>
    </row>
    <row r="43" spans="1:11">
      <c r="A43" s="129" t="s">
        <v>82</v>
      </c>
      <c r="B43" s="73"/>
      <c r="C43" s="73"/>
      <c r="D43" s="73"/>
      <c r="E43" s="230">
        <v>12</v>
      </c>
      <c r="F43" s="132"/>
      <c r="G43" s="43"/>
      <c r="H43" s="43"/>
      <c r="I43" s="43"/>
    </row>
    <row r="44" spans="1:11">
      <c r="A44" s="136" t="s">
        <v>83</v>
      </c>
      <c r="B44" s="73"/>
      <c r="C44" s="73"/>
      <c r="D44" s="73"/>
      <c r="E44" s="232">
        <f>E39+E40+E41+E42+E43</f>
        <v>585.52399999999989</v>
      </c>
      <c r="F44" s="132"/>
      <c r="G44" s="43"/>
      <c r="H44" s="43"/>
      <c r="I44" s="43"/>
    </row>
    <row r="45" spans="1:11" s="69" customFormat="1" ht="15.75">
      <c r="A45" s="233" t="s">
        <v>84</v>
      </c>
      <c r="B45" s="76"/>
      <c r="C45" s="76"/>
      <c r="D45" s="76"/>
      <c r="E45" s="234">
        <f>B26</f>
        <v>1935.0141612200437</v>
      </c>
      <c r="F45" s="132"/>
      <c r="G45" s="43"/>
      <c r="H45" s="43"/>
      <c r="I45" s="43"/>
    </row>
    <row r="46" spans="1:11" s="69" customFormat="1" ht="32.25" customHeight="1">
      <c r="A46" s="247" t="s">
        <v>171</v>
      </c>
      <c r="B46" s="235"/>
      <c r="C46" s="235"/>
      <c r="D46" s="235"/>
      <c r="E46" s="236">
        <f>E44+E45</f>
        <v>2520.5381612200435</v>
      </c>
      <c r="F46" s="333"/>
      <c r="G46" s="43"/>
      <c r="H46" s="43"/>
      <c r="I46" s="43"/>
      <c r="J46" s="92"/>
    </row>
    <row r="47" spans="1:11" ht="30" customHeight="1">
      <c r="A47" s="104" t="s">
        <v>169</v>
      </c>
      <c r="B47" s="232">
        <v>6</v>
      </c>
      <c r="C47" s="76">
        <f>C41</f>
        <v>487.2</v>
      </c>
      <c r="D47" s="76"/>
      <c r="E47" s="232">
        <f>B47*C47</f>
        <v>2923.2</v>
      </c>
      <c r="F47" s="240"/>
      <c r="G47" s="222"/>
      <c r="H47" s="222"/>
      <c r="I47" s="222"/>
    </row>
    <row r="48" spans="1:11" ht="28.5" customHeight="1">
      <c r="A48" s="241" t="s">
        <v>170</v>
      </c>
      <c r="B48" s="72"/>
      <c r="C48" s="72"/>
      <c r="D48" s="72"/>
      <c r="E48" s="242">
        <f>E47-E46</f>
        <v>402.66183877995627</v>
      </c>
      <c r="F48" s="243" t="s">
        <v>176</v>
      </c>
      <c r="G48" s="223"/>
      <c r="H48" s="223"/>
      <c r="I48" s="223"/>
    </row>
    <row r="49" spans="1:9">
      <c r="A49" s="233" t="s">
        <v>85</v>
      </c>
      <c r="B49" s="232">
        <v>4</v>
      </c>
      <c r="C49" s="76">
        <f>C38</f>
        <v>696</v>
      </c>
      <c r="D49" s="76"/>
      <c r="E49" s="232">
        <f>B49*C49</f>
        <v>2784</v>
      </c>
      <c r="F49" s="132"/>
      <c r="G49" s="43"/>
      <c r="H49" s="43"/>
      <c r="I49" s="43"/>
    </row>
    <row r="50" spans="1:9">
      <c r="A50" s="33"/>
      <c r="B50" s="73"/>
      <c r="C50" s="73"/>
      <c r="D50" s="73"/>
      <c r="E50" s="73"/>
      <c r="F50" s="132"/>
      <c r="G50" s="43"/>
      <c r="H50" s="43"/>
      <c r="I50" s="43"/>
    </row>
    <row r="51" spans="1:9" ht="30.75" thickBot="1">
      <c r="A51" s="244" t="s">
        <v>174</v>
      </c>
      <c r="B51" s="224"/>
      <c r="C51" s="224"/>
      <c r="D51" s="224"/>
      <c r="E51" s="245">
        <f>E49-E46</f>
        <v>263.46183877995645</v>
      </c>
      <c r="F51" s="246" t="s">
        <v>175</v>
      </c>
      <c r="G51" s="121"/>
      <c r="H51" s="121"/>
      <c r="I51" s="121"/>
    </row>
    <row r="52" spans="1:9">
      <c r="B52" s="7"/>
      <c r="C52" s="7"/>
      <c r="D52" s="7"/>
      <c r="E52" s="7"/>
    </row>
    <row r="53" spans="1:9">
      <c r="B53" s="7"/>
      <c r="C53" s="7"/>
      <c r="D53" s="7"/>
      <c r="E53" s="7"/>
    </row>
    <row r="54" spans="1:9">
      <c r="B54" s="7"/>
      <c r="C54" s="7"/>
      <c r="D54" s="7"/>
      <c r="E54" s="7"/>
    </row>
    <row r="55" spans="1:9">
      <c r="B55" s="7"/>
      <c r="C55" s="7"/>
      <c r="D55" s="7"/>
      <c r="E55" s="7"/>
    </row>
    <row r="56" spans="1:9">
      <c r="B56" s="7"/>
      <c r="C56" s="7"/>
      <c r="D56" s="7"/>
      <c r="E56" s="7"/>
    </row>
    <row r="57" spans="1:9">
      <c r="B57" s="7"/>
      <c r="C57" s="7"/>
      <c r="D57" s="7"/>
      <c r="E57" s="7"/>
    </row>
    <row r="58" spans="1:9">
      <c r="B58" s="7"/>
      <c r="C58" s="7"/>
      <c r="D58" s="7"/>
      <c r="E58" s="7"/>
    </row>
    <row r="59" spans="1:9">
      <c r="B59" s="7"/>
      <c r="C59" s="7"/>
      <c r="D59" s="7"/>
      <c r="E59" s="7"/>
    </row>
    <row r="60" spans="1:9">
      <c r="B60" s="7"/>
      <c r="C60" s="7"/>
      <c r="E60" s="7"/>
    </row>
    <row r="61" spans="1:9">
      <c r="B61" s="7"/>
      <c r="C61" s="7"/>
      <c r="E61" s="7"/>
    </row>
    <row r="62" spans="1:9">
      <c r="B62" s="7"/>
      <c r="C62" s="7"/>
    </row>
    <row r="63" spans="1:9">
      <c r="B63" s="7"/>
      <c r="C63" s="7"/>
    </row>
    <row r="64" spans="1:9">
      <c r="B64" s="7"/>
      <c r="C64" s="7"/>
    </row>
    <row r="65" spans="2:3">
      <c r="B65" s="7"/>
      <c r="C65" s="7"/>
    </row>
  </sheetData>
  <mergeCells count="33">
    <mergeCell ref="C23:F23"/>
    <mergeCell ref="C24:F24"/>
    <mergeCell ref="C18:F18"/>
    <mergeCell ref="C19:F19"/>
    <mergeCell ref="C20:F20"/>
    <mergeCell ref="C21:F21"/>
    <mergeCell ref="C22:F22"/>
    <mergeCell ref="C12:F12"/>
    <mergeCell ref="C13:F13"/>
    <mergeCell ref="C14:F14"/>
    <mergeCell ref="C5:F5"/>
    <mergeCell ref="A1:F1"/>
    <mergeCell ref="C7:F7"/>
    <mergeCell ref="C8:F8"/>
    <mergeCell ref="C9:F9"/>
    <mergeCell ref="C10:F10"/>
    <mergeCell ref="A2:F2"/>
    <mergeCell ref="A34:F34"/>
    <mergeCell ref="A3:F3"/>
    <mergeCell ref="C4:F4"/>
    <mergeCell ref="C6:F6"/>
    <mergeCell ref="C15:F15"/>
    <mergeCell ref="C16:F16"/>
    <mergeCell ref="C17:F17"/>
    <mergeCell ref="C25:F25"/>
    <mergeCell ref="C26:F26"/>
    <mergeCell ref="C27:F27"/>
    <mergeCell ref="C28:F28"/>
    <mergeCell ref="C30:F30"/>
    <mergeCell ref="C31:F31"/>
    <mergeCell ref="C32:F32"/>
    <mergeCell ref="C29:F29"/>
    <mergeCell ref="C11:F11"/>
  </mergeCells>
  <pageMargins left="0.7" right="0.7" top="0.75" bottom="0.75" header="0.3" footer="0.3"/>
  <pageSetup orientation="portrait" verticalDpi="300" r:id="rId1"/>
  <headerFooter differentFirst="1">
    <oddFooter>&amp;C&amp;G
 www.pastureproject.org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1"/>
  <sheetViews>
    <sheetView zoomScale="80" zoomScaleNormal="80" workbookViewId="0">
      <selection activeCell="E36" sqref="E36"/>
    </sheetView>
  </sheetViews>
  <sheetFormatPr defaultColWidth="8.75" defaultRowHeight="15"/>
  <cols>
    <col min="1" max="1" width="28.375" style="6" customWidth="1"/>
    <col min="2" max="2" width="8.75" style="7" customWidth="1"/>
    <col min="3" max="3" width="13" style="70" customWidth="1"/>
    <col min="4" max="4" width="13.5" style="7" customWidth="1"/>
    <col min="5" max="5" width="11.375" style="7" customWidth="1"/>
    <col min="6" max="6" width="13.25" style="7" customWidth="1"/>
    <col min="7" max="7" width="9" style="7" customWidth="1"/>
    <col min="8" max="8" width="14.375" style="6" customWidth="1"/>
    <col min="9" max="9" width="16" style="6" customWidth="1"/>
    <col min="10" max="10" width="13.375" style="6" customWidth="1"/>
    <col min="11" max="11" width="15" style="6" customWidth="1"/>
    <col min="12" max="12" width="8.75" style="6"/>
    <col min="13" max="13" width="12.75" style="6" customWidth="1"/>
    <col min="14" max="14" width="15.125" style="6" customWidth="1"/>
    <col min="15" max="15" width="14.375" style="6" customWidth="1"/>
    <col min="16" max="16" width="14.625" style="6" customWidth="1"/>
    <col min="17" max="17" width="8.75" style="6"/>
    <col min="18" max="18" width="13.375" style="6" customWidth="1"/>
    <col min="19" max="19" width="14.625" style="6" customWidth="1"/>
    <col min="20" max="20" width="14.375" style="6" customWidth="1"/>
    <col min="21" max="21" width="16.25" style="6" customWidth="1"/>
    <col min="22" max="22" width="8.75" style="6"/>
    <col min="23" max="23" width="13.625" style="6" customWidth="1"/>
    <col min="24" max="24" width="14.5" style="6" customWidth="1"/>
    <col min="25" max="25" width="14.25" style="6" customWidth="1"/>
    <col min="26" max="26" width="15.375" style="6" customWidth="1"/>
    <col min="27" max="16384" width="8.75" style="6"/>
  </cols>
  <sheetData>
    <row r="1" spans="1:26" ht="25.5" customHeight="1">
      <c r="A1" s="357" t="s">
        <v>116</v>
      </c>
      <c r="B1" s="359"/>
      <c r="C1" s="359"/>
      <c r="D1" s="89"/>
      <c r="E1" s="89"/>
      <c r="F1" s="89"/>
    </row>
    <row r="2" spans="1:26" ht="72.75" customHeight="1" thickBot="1">
      <c r="A2" s="344" t="s">
        <v>183</v>
      </c>
      <c r="B2" s="369"/>
      <c r="C2" s="369"/>
      <c r="D2" s="370"/>
      <c r="E2" s="370"/>
      <c r="F2" s="370"/>
    </row>
    <row r="3" spans="1:26">
      <c r="A3" s="71"/>
      <c r="B3" s="366" t="s">
        <v>101</v>
      </c>
      <c r="C3" s="366"/>
      <c r="D3" s="366"/>
      <c r="E3" s="366"/>
      <c r="F3" s="367"/>
      <c r="G3" s="105"/>
      <c r="H3" s="105"/>
      <c r="I3" s="105"/>
      <c r="J3" s="105"/>
      <c r="K3" s="105"/>
      <c r="L3" s="105"/>
      <c r="M3" s="105"/>
      <c r="N3" s="105"/>
      <c r="O3" s="105"/>
      <c r="P3" s="105"/>
      <c r="Q3" s="105"/>
      <c r="R3" s="105"/>
      <c r="S3" s="105"/>
      <c r="T3" s="105"/>
      <c r="U3" s="105"/>
      <c r="V3" s="105"/>
      <c r="W3" s="105"/>
      <c r="X3" s="105"/>
      <c r="Y3" s="105"/>
      <c r="Z3" s="105"/>
    </row>
    <row r="4" spans="1:26">
      <c r="A4" s="33"/>
      <c r="B4" s="73"/>
      <c r="C4" s="75" t="s">
        <v>90</v>
      </c>
      <c r="D4" s="76" t="s">
        <v>90</v>
      </c>
      <c r="E4" s="73"/>
      <c r="F4" s="248" t="s">
        <v>75</v>
      </c>
      <c r="G4" s="105"/>
      <c r="H4" s="106"/>
      <c r="I4" s="107"/>
      <c r="J4" s="105"/>
      <c r="K4" s="107"/>
      <c r="L4" s="105"/>
      <c r="M4" s="106"/>
      <c r="N4" s="107"/>
      <c r="O4" s="105"/>
      <c r="P4" s="107"/>
      <c r="Q4" s="105"/>
      <c r="R4" s="106"/>
      <c r="S4" s="107"/>
      <c r="T4" s="105"/>
      <c r="U4" s="107"/>
      <c r="V4" s="105"/>
      <c r="W4" s="106"/>
      <c r="X4" s="107"/>
      <c r="Y4" s="105"/>
      <c r="Z4" s="107"/>
    </row>
    <row r="5" spans="1:26" s="9" customFormat="1" ht="30">
      <c r="A5" s="255" t="s">
        <v>88</v>
      </c>
      <c r="B5" s="76" t="s">
        <v>91</v>
      </c>
      <c r="C5" s="256" t="s">
        <v>99</v>
      </c>
      <c r="D5" s="76" t="s">
        <v>89</v>
      </c>
      <c r="E5" s="257" t="s">
        <v>102</v>
      </c>
      <c r="F5" s="248" t="s">
        <v>103</v>
      </c>
      <c r="G5" s="108"/>
      <c r="H5" s="109"/>
      <c r="I5" s="108"/>
      <c r="J5" s="108"/>
      <c r="K5" s="108"/>
      <c r="L5" s="108"/>
      <c r="M5" s="109"/>
      <c r="N5" s="108"/>
      <c r="O5" s="108"/>
      <c r="P5" s="108"/>
      <c r="Q5" s="108"/>
      <c r="R5" s="109"/>
      <c r="S5" s="108"/>
      <c r="T5" s="108"/>
      <c r="U5" s="108"/>
      <c r="V5" s="108"/>
      <c r="W5" s="109"/>
      <c r="X5" s="108"/>
      <c r="Y5" s="108"/>
      <c r="Z5" s="108"/>
    </row>
    <row r="6" spans="1:26" s="9" customFormat="1">
      <c r="A6" s="374" t="s">
        <v>93</v>
      </c>
      <c r="B6" s="375"/>
      <c r="C6" s="375"/>
      <c r="D6" s="375"/>
      <c r="E6" s="375"/>
      <c r="F6" s="376"/>
      <c r="G6" s="108"/>
      <c r="H6" s="109"/>
      <c r="I6" s="108"/>
      <c r="J6" s="108"/>
      <c r="K6" s="108"/>
      <c r="L6" s="108"/>
      <c r="M6" s="109"/>
      <c r="N6" s="108"/>
      <c r="O6" s="108"/>
      <c r="P6" s="108"/>
      <c r="Q6" s="108"/>
      <c r="R6" s="109"/>
      <c r="S6" s="108"/>
      <c r="T6" s="108"/>
      <c r="U6" s="108"/>
      <c r="V6" s="108"/>
      <c r="W6" s="109"/>
      <c r="X6" s="108"/>
      <c r="Y6" s="108"/>
      <c r="Z6" s="108"/>
    </row>
    <row r="7" spans="1:26">
      <c r="A7" s="103" t="s">
        <v>87</v>
      </c>
      <c r="B7" s="95">
        <v>200</v>
      </c>
      <c r="C7" s="96">
        <f>'Cow-Calf'!B28</f>
        <v>731.38461538461524</v>
      </c>
      <c r="D7" s="96">
        <f>B7*C7</f>
        <v>146276.92307692306</v>
      </c>
      <c r="E7" s="57"/>
      <c r="F7" s="249"/>
      <c r="G7" s="105"/>
      <c r="H7" s="110"/>
      <c r="I7" s="110"/>
      <c r="J7" s="105"/>
      <c r="K7" s="105"/>
      <c r="L7" s="105"/>
      <c r="M7" s="110"/>
      <c r="N7" s="110"/>
      <c r="O7" s="105"/>
      <c r="P7" s="105"/>
      <c r="Q7" s="105"/>
      <c r="R7" s="110"/>
      <c r="S7" s="110"/>
      <c r="T7" s="105"/>
      <c r="U7" s="105"/>
      <c r="V7" s="105"/>
      <c r="W7" s="110"/>
      <c r="X7" s="110"/>
      <c r="Y7" s="105"/>
      <c r="Z7" s="105"/>
    </row>
    <row r="8" spans="1:26">
      <c r="A8" s="103" t="s">
        <v>94</v>
      </c>
      <c r="B8" s="57">
        <f>B7*0.9</f>
        <v>180</v>
      </c>
      <c r="C8" s="96"/>
      <c r="D8" s="57"/>
      <c r="E8" s="57"/>
      <c r="F8" s="249"/>
      <c r="G8" s="105"/>
      <c r="H8" s="110"/>
      <c r="I8" s="105"/>
      <c r="J8" s="105"/>
      <c r="K8" s="105"/>
      <c r="L8" s="105"/>
      <c r="M8" s="110"/>
      <c r="N8" s="105"/>
      <c r="O8" s="105"/>
      <c r="P8" s="105"/>
      <c r="Q8" s="105"/>
      <c r="R8" s="110"/>
      <c r="S8" s="105"/>
      <c r="T8" s="105"/>
      <c r="U8" s="105"/>
      <c r="V8" s="105"/>
      <c r="W8" s="110"/>
      <c r="X8" s="105"/>
      <c r="Y8" s="105"/>
      <c r="Z8" s="105"/>
    </row>
    <row r="9" spans="1:26" ht="15.75" customHeight="1">
      <c r="A9" s="103" t="s">
        <v>165</v>
      </c>
      <c r="B9" s="97">
        <f>(B8/2)*0.25</f>
        <v>22.5</v>
      </c>
      <c r="C9" s="98">
        <v>400</v>
      </c>
      <c r="D9" s="96">
        <f>B9*C9</f>
        <v>9000</v>
      </c>
      <c r="E9" s="57"/>
      <c r="F9" s="249"/>
      <c r="G9" s="105"/>
      <c r="H9" s="110"/>
      <c r="I9" s="110"/>
      <c r="J9" s="105"/>
      <c r="K9" s="105"/>
      <c r="L9" s="105"/>
      <c r="M9" s="110"/>
      <c r="N9" s="110"/>
      <c r="O9" s="105"/>
      <c r="P9" s="105"/>
      <c r="Q9" s="105"/>
      <c r="R9" s="110"/>
      <c r="S9" s="110"/>
      <c r="T9" s="105"/>
      <c r="U9" s="105"/>
      <c r="V9" s="105"/>
      <c r="W9" s="110"/>
      <c r="X9" s="110"/>
      <c r="Y9" s="105"/>
      <c r="Z9" s="105"/>
    </row>
    <row r="10" spans="1:26" ht="14.25" customHeight="1">
      <c r="A10" s="103" t="s">
        <v>164</v>
      </c>
      <c r="B10" s="57">
        <f>(B7*0.1)</f>
        <v>20</v>
      </c>
      <c r="C10" s="96"/>
      <c r="D10" s="57"/>
      <c r="E10" s="99">
        <f>1100*0.9</f>
        <v>990</v>
      </c>
      <c r="F10" s="250">
        <f>B10*E10</f>
        <v>19800</v>
      </c>
      <c r="G10" s="105"/>
      <c r="H10" s="110"/>
      <c r="I10" s="105"/>
      <c r="J10" s="111"/>
      <c r="K10" s="112"/>
      <c r="L10" s="105"/>
      <c r="M10" s="110"/>
      <c r="N10" s="105"/>
      <c r="O10" s="111"/>
      <c r="P10" s="112"/>
      <c r="Q10" s="105"/>
      <c r="R10" s="110"/>
      <c r="S10" s="105"/>
      <c r="T10" s="111"/>
      <c r="U10" s="112"/>
      <c r="V10" s="105"/>
      <c r="W10" s="110"/>
      <c r="X10" s="105"/>
      <c r="Y10" s="111"/>
      <c r="Z10" s="112"/>
    </row>
    <row r="11" spans="1:26">
      <c r="A11" s="103" t="s">
        <v>92</v>
      </c>
      <c r="B11" s="100">
        <f>B7/33</f>
        <v>6.0606060606060606</v>
      </c>
      <c r="C11" s="98">
        <v>450</v>
      </c>
      <c r="D11" s="96">
        <f>B11*C11</f>
        <v>2727.272727272727</v>
      </c>
      <c r="E11" s="57"/>
      <c r="F11" s="249"/>
      <c r="G11" s="105"/>
      <c r="H11" s="110"/>
      <c r="I11" s="110"/>
      <c r="J11" s="105"/>
      <c r="K11" s="105"/>
      <c r="L11" s="105"/>
      <c r="M11" s="110"/>
      <c r="N11" s="110"/>
      <c r="O11" s="105"/>
      <c r="P11" s="105"/>
      <c r="Q11" s="105"/>
      <c r="R11" s="110"/>
      <c r="S11" s="110"/>
      <c r="T11" s="105"/>
      <c r="U11" s="105"/>
      <c r="V11" s="105"/>
      <c r="W11" s="110"/>
      <c r="X11" s="110"/>
      <c r="Y11" s="105"/>
      <c r="Z11" s="105"/>
    </row>
    <row r="12" spans="1:26" ht="15" customHeight="1">
      <c r="A12" s="103" t="s">
        <v>98</v>
      </c>
      <c r="B12" s="100">
        <f>B8-B9-B15</f>
        <v>57.5</v>
      </c>
      <c r="C12" s="96"/>
      <c r="D12" s="96"/>
      <c r="E12" s="99">
        <f>('Cow-Calf'!B33)*'Cow-Calf'!B8</f>
        <v>1446.5</v>
      </c>
      <c r="F12" s="250">
        <f>B12*E12</f>
        <v>83173.75</v>
      </c>
      <c r="G12" s="105"/>
      <c r="H12" s="110"/>
      <c r="I12" s="110"/>
      <c r="J12" s="111"/>
      <c r="K12" s="112"/>
      <c r="L12" s="105"/>
      <c r="M12" s="110"/>
      <c r="N12" s="110"/>
      <c r="O12" s="111"/>
      <c r="P12" s="112"/>
      <c r="Q12" s="105"/>
      <c r="R12" s="110"/>
      <c r="S12" s="110"/>
      <c r="T12" s="111"/>
      <c r="U12" s="112"/>
      <c r="V12" s="105"/>
      <c r="W12" s="110"/>
      <c r="X12" s="110"/>
      <c r="Y12" s="111"/>
      <c r="Z12" s="112"/>
    </row>
    <row r="13" spans="1:26" ht="30">
      <c r="A13" s="103" t="s">
        <v>128</v>
      </c>
      <c r="B13" s="95">
        <v>200</v>
      </c>
      <c r="C13" s="96">
        <f>Stocker!B29</f>
        <v>1680.3050108932462</v>
      </c>
      <c r="D13" s="96">
        <f>B13*C13</f>
        <v>336061.00217864924</v>
      </c>
      <c r="E13" s="99">
        <f>Stocker!B32</f>
        <v>1537.4999999999998</v>
      </c>
      <c r="F13" s="250">
        <f>B13*E13</f>
        <v>307499.99999999994</v>
      </c>
      <c r="G13" s="105"/>
      <c r="H13" s="110"/>
      <c r="I13" s="110"/>
      <c r="J13" s="111"/>
      <c r="K13" s="112"/>
      <c r="L13" s="105"/>
      <c r="M13" s="110"/>
      <c r="N13" s="110"/>
      <c r="O13" s="111"/>
      <c r="P13" s="112"/>
      <c r="Q13" s="105"/>
      <c r="R13" s="110"/>
      <c r="S13" s="110"/>
      <c r="T13" s="111"/>
      <c r="U13" s="112"/>
      <c r="V13" s="105"/>
      <c r="W13" s="110"/>
      <c r="X13" s="110"/>
      <c r="Y13" s="111"/>
      <c r="Z13" s="112"/>
    </row>
    <row r="14" spans="1:26" ht="30.75" customHeight="1">
      <c r="A14" s="103" t="s">
        <v>119</v>
      </c>
      <c r="B14" s="95">
        <v>100</v>
      </c>
      <c r="C14" s="96">
        <f>Finishing!B6</f>
        <v>1631</v>
      </c>
      <c r="D14" s="96">
        <f>B14*C14</f>
        <v>163100</v>
      </c>
      <c r="E14" s="57"/>
      <c r="F14" s="249"/>
      <c r="G14" s="105"/>
      <c r="H14" s="110"/>
      <c r="I14" s="110"/>
      <c r="J14" s="105"/>
      <c r="K14" s="105"/>
      <c r="L14" s="105"/>
      <c r="M14" s="110"/>
      <c r="N14" s="110"/>
      <c r="O14" s="105"/>
      <c r="P14" s="105"/>
      <c r="Q14" s="105"/>
      <c r="R14" s="110"/>
      <c r="S14" s="110"/>
      <c r="T14" s="105"/>
      <c r="U14" s="105"/>
      <c r="V14" s="105"/>
      <c r="W14" s="110"/>
      <c r="X14" s="110"/>
      <c r="Y14" s="105"/>
      <c r="Z14" s="105"/>
    </row>
    <row r="15" spans="1:26" ht="29.25" customHeight="1">
      <c r="A15" s="103" t="s">
        <v>97</v>
      </c>
      <c r="B15" s="95">
        <v>100</v>
      </c>
      <c r="C15" s="96"/>
      <c r="D15" s="96">
        <f>B15*C15</f>
        <v>0</v>
      </c>
      <c r="E15" s="57"/>
      <c r="F15" s="249"/>
      <c r="G15" s="113"/>
      <c r="H15" s="110"/>
      <c r="I15" s="110"/>
      <c r="J15" s="105"/>
      <c r="K15" s="105"/>
      <c r="L15" s="113"/>
      <c r="M15" s="110"/>
      <c r="N15" s="110"/>
      <c r="O15" s="105"/>
      <c r="P15" s="105"/>
      <c r="Q15" s="113"/>
      <c r="R15" s="110"/>
      <c r="S15" s="110"/>
      <c r="T15" s="105"/>
      <c r="U15" s="105"/>
      <c r="V15" s="113"/>
      <c r="W15" s="110"/>
      <c r="X15" s="110"/>
      <c r="Y15" s="105"/>
      <c r="Z15" s="105"/>
    </row>
    <row r="16" spans="1:26">
      <c r="A16" s="103" t="s">
        <v>105</v>
      </c>
      <c r="B16" s="101">
        <f>B14+B15</f>
        <v>200</v>
      </c>
      <c r="C16" s="96"/>
      <c r="D16" s="57"/>
      <c r="E16" s="57"/>
      <c r="F16" s="249"/>
      <c r="G16" s="107"/>
      <c r="H16" s="110"/>
      <c r="I16" s="105"/>
      <c r="J16" s="105"/>
      <c r="K16" s="105"/>
      <c r="L16" s="107"/>
      <c r="M16" s="110"/>
      <c r="N16" s="105"/>
      <c r="O16" s="105"/>
      <c r="P16" s="105"/>
      <c r="Q16" s="107"/>
      <c r="R16" s="110"/>
      <c r="S16" s="105"/>
      <c r="T16" s="105"/>
      <c r="U16" s="105"/>
      <c r="V16" s="107"/>
      <c r="W16" s="110"/>
      <c r="X16" s="105"/>
      <c r="Y16" s="105"/>
      <c r="Z16" s="105"/>
    </row>
    <row r="17" spans="1:26" s="68" customFormat="1">
      <c r="A17" s="104"/>
      <c r="B17" s="76"/>
      <c r="C17" s="75" t="s">
        <v>104</v>
      </c>
      <c r="D17" s="102">
        <f>SUM(D7:D15)</f>
        <v>657165.19798284501</v>
      </c>
      <c r="E17" s="76" t="s">
        <v>103</v>
      </c>
      <c r="F17" s="251">
        <f>SUM(F7:F15)</f>
        <v>410473.74999999994</v>
      </c>
      <c r="G17" s="107"/>
      <c r="H17" s="106"/>
      <c r="I17" s="106"/>
      <c r="J17" s="107"/>
      <c r="K17" s="114"/>
      <c r="L17" s="107"/>
      <c r="M17" s="106"/>
      <c r="N17" s="106"/>
      <c r="O17" s="107"/>
      <c r="P17" s="114"/>
      <c r="Q17" s="107"/>
      <c r="R17" s="106"/>
      <c r="S17" s="106"/>
      <c r="T17" s="107"/>
      <c r="U17" s="114"/>
      <c r="V17" s="107"/>
      <c r="W17" s="106"/>
      <c r="X17" s="106"/>
      <c r="Y17" s="107"/>
      <c r="Z17" s="114"/>
    </row>
    <row r="18" spans="1:26" s="68" customFormat="1" ht="10.5" customHeight="1">
      <c r="A18" s="377"/>
      <c r="B18" s="378"/>
      <c r="C18" s="378"/>
      <c r="D18" s="378"/>
      <c r="E18" s="378"/>
      <c r="F18" s="379"/>
      <c r="G18" s="107"/>
      <c r="H18" s="106"/>
      <c r="I18" s="106"/>
      <c r="J18" s="107"/>
      <c r="K18" s="107"/>
      <c r="L18" s="107"/>
      <c r="M18" s="106"/>
      <c r="N18" s="106"/>
      <c r="O18" s="107"/>
      <c r="P18" s="107"/>
      <c r="Q18" s="107"/>
      <c r="R18" s="106"/>
      <c r="S18" s="106"/>
      <c r="T18" s="107"/>
      <c r="U18" s="107"/>
      <c r="V18" s="107"/>
      <c r="W18" s="106"/>
      <c r="X18" s="106"/>
      <c r="Y18" s="107"/>
      <c r="Z18" s="107"/>
    </row>
    <row r="19" spans="1:26">
      <c r="A19" s="371" t="s">
        <v>100</v>
      </c>
      <c r="B19" s="372"/>
      <c r="C19" s="372"/>
      <c r="D19" s="372"/>
      <c r="E19" s="372"/>
      <c r="F19" s="373"/>
      <c r="G19" s="105"/>
      <c r="H19" s="110"/>
      <c r="I19" s="105"/>
      <c r="J19" s="105"/>
      <c r="K19" s="105"/>
      <c r="L19" s="105"/>
      <c r="M19" s="110"/>
      <c r="N19" s="105"/>
      <c r="O19" s="105"/>
      <c r="P19" s="105"/>
      <c r="Q19" s="105"/>
      <c r="R19" s="110"/>
      <c r="S19" s="105"/>
      <c r="T19" s="105"/>
      <c r="U19" s="105"/>
      <c r="V19" s="105"/>
      <c r="W19" s="110"/>
      <c r="X19" s="105"/>
      <c r="Y19" s="105"/>
      <c r="Z19" s="105"/>
    </row>
    <row r="20" spans="1:26" ht="33.75" customHeight="1">
      <c r="A20" s="103" t="s">
        <v>106</v>
      </c>
      <c r="B20" s="94">
        <v>25</v>
      </c>
      <c r="C20" s="74">
        <f>'Direct Market'!F46</f>
        <v>0</v>
      </c>
      <c r="D20" s="74">
        <f>C20*B20</f>
        <v>0</v>
      </c>
      <c r="E20" s="77">
        <f>'Direct Market'!E47</f>
        <v>2923.2</v>
      </c>
      <c r="F20" s="252">
        <f>E20*B20</f>
        <v>73080</v>
      </c>
      <c r="G20" s="105"/>
      <c r="H20" s="110"/>
      <c r="I20" s="110"/>
      <c r="J20" s="115"/>
      <c r="K20" s="112"/>
      <c r="L20" s="105"/>
      <c r="M20" s="110"/>
      <c r="N20" s="110"/>
      <c r="O20" s="115"/>
      <c r="P20" s="112"/>
      <c r="Q20" s="105"/>
      <c r="R20" s="110"/>
      <c r="S20" s="110"/>
      <c r="T20" s="115"/>
      <c r="U20" s="112"/>
      <c r="V20" s="105"/>
      <c r="W20" s="110"/>
      <c r="X20" s="110"/>
      <c r="Y20" s="115"/>
      <c r="Z20" s="112"/>
    </row>
    <row r="21" spans="1:26" ht="46.5" customHeight="1">
      <c r="A21" s="103" t="s">
        <v>107</v>
      </c>
      <c r="B21" s="78">
        <f>(B16-B20)*0.98</f>
        <v>171.5</v>
      </c>
      <c r="C21" s="74">
        <f>Finishing!H26</f>
        <v>416.76034858387811</v>
      </c>
      <c r="D21" s="74">
        <f>C21*B21</f>
        <v>71474.399782135093</v>
      </c>
      <c r="E21" s="77">
        <f>Finishing!B30</f>
        <v>2192.3999999999996</v>
      </c>
      <c r="F21" s="252">
        <f>E21*B21</f>
        <v>375996.59999999992</v>
      </c>
      <c r="G21" s="116"/>
      <c r="H21" s="110"/>
      <c r="I21" s="110"/>
      <c r="J21" s="111"/>
      <c r="K21" s="112"/>
      <c r="L21" s="116"/>
      <c r="M21" s="110"/>
      <c r="N21" s="110"/>
      <c r="O21" s="111"/>
      <c r="P21" s="112"/>
      <c r="Q21" s="116"/>
      <c r="R21" s="110"/>
      <c r="S21" s="110"/>
      <c r="T21" s="111"/>
      <c r="U21" s="112"/>
      <c r="V21" s="116"/>
      <c r="W21" s="110"/>
      <c r="X21" s="110"/>
      <c r="Y21" s="111"/>
      <c r="Z21" s="112"/>
    </row>
    <row r="22" spans="1:26">
      <c r="A22" s="33"/>
      <c r="B22" s="79">
        <f>B20+B21</f>
        <v>196.5</v>
      </c>
      <c r="C22" s="368" t="s">
        <v>120</v>
      </c>
      <c r="D22" s="368"/>
      <c r="E22" s="368"/>
      <c r="F22" s="221"/>
      <c r="G22" s="117"/>
      <c r="H22" s="118"/>
      <c r="I22" s="118"/>
      <c r="J22" s="118"/>
      <c r="K22" s="105"/>
      <c r="L22" s="107"/>
      <c r="M22" s="119"/>
      <c r="N22" s="119"/>
      <c r="O22" s="119"/>
      <c r="P22" s="105"/>
      <c r="Q22" s="117"/>
      <c r="R22" s="118"/>
      <c r="S22" s="118"/>
      <c r="T22" s="118"/>
      <c r="U22" s="105"/>
      <c r="V22" s="107"/>
      <c r="W22" s="118"/>
      <c r="X22" s="118"/>
      <c r="Y22" s="118"/>
      <c r="Z22" s="105"/>
    </row>
    <row r="23" spans="1:26">
      <c r="A23" s="33"/>
      <c r="B23" s="73"/>
      <c r="C23" s="75" t="s">
        <v>104</v>
      </c>
      <c r="D23" s="75">
        <f>D20+D21</f>
        <v>71474.399782135093</v>
      </c>
      <c r="E23" s="76" t="s">
        <v>103</v>
      </c>
      <c r="F23" s="253">
        <f>F20+F21</f>
        <v>449076.59999999992</v>
      </c>
      <c r="G23" s="105"/>
      <c r="H23" s="106"/>
      <c r="I23" s="106"/>
      <c r="J23" s="107"/>
      <c r="K23" s="120"/>
      <c r="L23" s="105"/>
      <c r="M23" s="106"/>
      <c r="N23" s="106"/>
      <c r="O23" s="107"/>
      <c r="P23" s="120"/>
      <c r="Q23" s="105"/>
      <c r="R23" s="106"/>
      <c r="S23" s="106"/>
      <c r="T23" s="107"/>
      <c r="U23" s="120"/>
      <c r="V23" s="105"/>
      <c r="W23" s="106"/>
      <c r="X23" s="106"/>
      <c r="Y23" s="107"/>
      <c r="Z23" s="120"/>
    </row>
    <row r="24" spans="1:26" ht="15.75" thickBot="1">
      <c r="A24" s="80"/>
      <c r="B24" s="81"/>
      <c r="C24" s="82"/>
      <c r="D24" s="81"/>
      <c r="E24" s="83" t="s">
        <v>86</v>
      </c>
      <c r="F24" s="254">
        <f>F23+F17-D23-D17</f>
        <v>130910.7522350197</v>
      </c>
      <c r="G24" s="105"/>
      <c r="H24" s="110"/>
      <c r="I24" s="105"/>
      <c r="J24" s="107"/>
      <c r="K24" s="120"/>
      <c r="L24" s="105"/>
      <c r="M24" s="110"/>
      <c r="N24" s="105"/>
      <c r="O24" s="107"/>
      <c r="P24" s="120"/>
      <c r="Q24" s="105"/>
      <c r="R24" s="110"/>
      <c r="S24" s="105"/>
      <c r="T24" s="107"/>
      <c r="U24" s="120"/>
      <c r="V24" s="105"/>
      <c r="W24" s="110"/>
      <c r="X24" s="105"/>
      <c r="Y24" s="107"/>
      <c r="Z24" s="120"/>
    </row>
    <row r="25" spans="1:26">
      <c r="A25" s="259"/>
      <c r="B25" s="89"/>
      <c r="C25" s="260"/>
      <c r="D25" s="360" t="s">
        <v>121</v>
      </c>
      <c r="E25" s="361"/>
      <c r="F25" s="264">
        <f>(F24/D17)/2</f>
        <v>9.9602620951967286E-2</v>
      </c>
      <c r="I25" s="364"/>
      <c r="J25" s="364"/>
      <c r="K25" s="84"/>
    </row>
    <row r="26" spans="1:26" ht="15.75" thickBot="1">
      <c r="A26" s="22"/>
      <c r="B26" s="89"/>
      <c r="C26" s="260"/>
      <c r="D26" s="362" t="s">
        <v>122</v>
      </c>
      <c r="E26" s="363"/>
      <c r="F26" s="265">
        <f>((F24-E29)/D17)/2</f>
        <v>8.809637095196729E-2</v>
      </c>
      <c r="I26" s="365"/>
      <c r="J26" s="365"/>
      <c r="K26" s="84"/>
    </row>
    <row r="27" spans="1:26" ht="15.75" thickBot="1">
      <c r="A27" s="22"/>
      <c r="B27" s="89"/>
      <c r="C27" s="260"/>
      <c r="D27" s="89"/>
      <c r="E27" s="89"/>
      <c r="F27" s="89"/>
    </row>
    <row r="28" spans="1:26" ht="34.5" customHeight="1">
      <c r="A28" s="22"/>
      <c r="B28" s="266" t="s">
        <v>123</v>
      </c>
      <c r="C28" s="267" t="s">
        <v>124</v>
      </c>
      <c r="D28" s="267" t="s">
        <v>125</v>
      </c>
      <c r="E28" s="269" t="s">
        <v>126</v>
      </c>
      <c r="F28" s="270"/>
      <c r="G28" s="85"/>
      <c r="H28" s="9"/>
      <c r="I28" s="9"/>
      <c r="J28" s="9"/>
    </row>
    <row r="29" spans="1:26" ht="15.75" thickBot="1">
      <c r="A29" s="22"/>
      <c r="B29" s="268">
        <v>3.5000000000000003E-2</v>
      </c>
      <c r="C29" s="261">
        <v>240</v>
      </c>
      <c r="D29" s="262">
        <f>((D17*3.5%)*0.6575)/C29</f>
        <v>63.012558827417593</v>
      </c>
      <c r="E29" s="263">
        <f>C29*D29</f>
        <v>15123.014118580222</v>
      </c>
      <c r="F29" s="270"/>
      <c r="G29" s="86"/>
      <c r="H29" s="7"/>
      <c r="I29" s="87"/>
      <c r="J29" s="88"/>
    </row>
    <row r="30" spans="1:26">
      <c r="A30" s="22"/>
      <c r="E30" s="258"/>
      <c r="F30" s="89"/>
    </row>
    <row r="31" spans="1:26">
      <c r="A31" s="22"/>
    </row>
  </sheetData>
  <mergeCells count="11">
    <mergeCell ref="A1:C1"/>
    <mergeCell ref="D25:E25"/>
    <mergeCell ref="D26:E26"/>
    <mergeCell ref="I25:J25"/>
    <mergeCell ref="I26:J26"/>
    <mergeCell ref="B3:F3"/>
    <mergeCell ref="C22:E22"/>
    <mergeCell ref="A2:F2"/>
    <mergeCell ref="A19:F19"/>
    <mergeCell ref="A6:F6"/>
    <mergeCell ref="A18:F18"/>
  </mergeCells>
  <pageMargins left="0.25" right="0.25" top="0.75" bottom="0.75" header="0.3" footer="0.3"/>
  <pageSetup orientation="portrait" horizontalDpi="4294967292" verticalDpi="4294967292" r:id="rId1"/>
  <headerFooter>
    <oddFooter>&amp;C&amp;G
www.pastureproject.org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0"/>
  <sheetViews>
    <sheetView zoomScale="85" zoomScaleNormal="85" workbookViewId="0">
      <selection activeCell="B30" sqref="B30"/>
    </sheetView>
  </sheetViews>
  <sheetFormatPr defaultColWidth="8.75" defaultRowHeight="15"/>
  <cols>
    <col min="1" max="1" width="26.625" style="6" customWidth="1"/>
    <col min="2" max="2" width="8.25" style="7" bestFit="1" customWidth="1"/>
    <col min="3" max="3" width="12.25" style="70" customWidth="1"/>
    <col min="4" max="4" width="13" style="7" customWidth="1"/>
    <col min="5" max="5" width="10.75" style="7" customWidth="1"/>
    <col min="6" max="6" width="12.25" style="7" customWidth="1"/>
    <col min="7" max="7" width="9" style="7" customWidth="1"/>
    <col min="8" max="8" width="14.375" style="6" customWidth="1"/>
    <col min="9" max="9" width="16" style="6" customWidth="1"/>
    <col min="10" max="10" width="13.375" style="6" customWidth="1"/>
    <col min="11" max="11" width="15" style="6" customWidth="1"/>
    <col min="12" max="12" width="8.75" style="6"/>
    <col min="13" max="13" width="12.75" style="6" customWidth="1"/>
    <col min="14" max="14" width="15.125" style="6" customWidth="1"/>
    <col min="15" max="15" width="14.375" style="6" customWidth="1"/>
    <col min="16" max="16" width="14.625" style="6" customWidth="1"/>
    <col min="17" max="17" width="8.75" style="6"/>
    <col min="18" max="18" width="13.375" style="6" customWidth="1"/>
    <col min="19" max="19" width="14.625" style="6" customWidth="1"/>
    <col min="20" max="20" width="14.375" style="6" customWidth="1"/>
    <col min="21" max="21" width="16.25" style="6" customWidth="1"/>
    <col min="22" max="22" width="8.75" style="6"/>
    <col min="23" max="23" width="13.625" style="6" customWidth="1"/>
    <col min="24" max="24" width="14.5" style="6" customWidth="1"/>
    <col min="25" max="25" width="14.25" style="6" customWidth="1"/>
    <col min="26" max="26" width="15.375" style="6" customWidth="1"/>
    <col min="27" max="16384" width="8.75" style="6"/>
  </cols>
  <sheetData>
    <row r="1" spans="1:26" ht="22.5" customHeight="1">
      <c r="A1" s="357" t="s">
        <v>116</v>
      </c>
      <c r="B1" s="382"/>
      <c r="C1" s="382"/>
    </row>
    <row r="2" spans="1:26" ht="67.5" customHeight="1" thickBot="1">
      <c r="A2" s="344" t="s">
        <v>183</v>
      </c>
      <c r="B2" s="340"/>
      <c r="C2" s="340"/>
      <c r="D2" s="382"/>
      <c r="E2" s="382"/>
    </row>
    <row r="3" spans="1:26">
      <c r="A3" s="71"/>
      <c r="B3" s="366" t="s">
        <v>112</v>
      </c>
      <c r="C3" s="366"/>
      <c r="D3" s="366"/>
      <c r="E3" s="366"/>
      <c r="F3" s="367"/>
      <c r="G3" s="105"/>
      <c r="H3" s="105"/>
      <c r="I3" s="105"/>
      <c r="J3" s="105"/>
      <c r="K3" s="105"/>
      <c r="L3" s="105"/>
      <c r="M3" s="105"/>
      <c r="N3" s="105"/>
      <c r="O3" s="105"/>
      <c r="P3" s="105"/>
      <c r="Q3" s="105"/>
      <c r="R3" s="105"/>
      <c r="S3" s="105"/>
      <c r="T3" s="105"/>
      <c r="U3" s="105"/>
      <c r="V3" s="105"/>
      <c r="W3" s="105"/>
      <c r="X3" s="105"/>
      <c r="Y3" s="105"/>
      <c r="Z3" s="105"/>
    </row>
    <row r="4" spans="1:26">
      <c r="A4" s="33"/>
      <c r="B4" s="73"/>
      <c r="C4" s="75" t="s">
        <v>90</v>
      </c>
      <c r="D4" s="76" t="s">
        <v>90</v>
      </c>
      <c r="E4" s="73"/>
      <c r="F4" s="248" t="s">
        <v>75</v>
      </c>
      <c r="G4" s="105"/>
      <c r="H4" s="106"/>
      <c r="I4" s="107"/>
      <c r="J4" s="105"/>
      <c r="K4" s="107"/>
      <c r="L4" s="105"/>
      <c r="M4" s="106"/>
      <c r="N4" s="107"/>
      <c r="O4" s="105"/>
      <c r="P4" s="107"/>
      <c r="Q4" s="105"/>
      <c r="R4" s="106"/>
      <c r="S4" s="107"/>
      <c r="T4" s="105"/>
      <c r="U4" s="107"/>
      <c r="V4" s="105"/>
      <c r="W4" s="106"/>
      <c r="X4" s="107"/>
      <c r="Y4" s="105"/>
      <c r="Z4" s="107"/>
    </row>
    <row r="5" spans="1:26" s="9" customFormat="1" ht="27" customHeight="1">
      <c r="A5" s="255" t="s">
        <v>88</v>
      </c>
      <c r="B5" s="76" t="s">
        <v>91</v>
      </c>
      <c r="C5" s="256" t="s">
        <v>99</v>
      </c>
      <c r="D5" s="76" t="s">
        <v>89</v>
      </c>
      <c r="E5" s="257" t="s">
        <v>102</v>
      </c>
      <c r="F5" s="248" t="s">
        <v>103</v>
      </c>
      <c r="G5" s="108"/>
      <c r="H5" s="109"/>
      <c r="I5" s="108"/>
      <c r="J5" s="108"/>
      <c r="K5" s="108"/>
      <c r="L5" s="108"/>
      <c r="M5" s="109"/>
      <c r="N5" s="108"/>
      <c r="O5" s="108"/>
      <c r="P5" s="108"/>
      <c r="Q5" s="108"/>
      <c r="R5" s="109"/>
      <c r="S5" s="108"/>
      <c r="T5" s="108"/>
      <c r="U5" s="108"/>
      <c r="V5" s="108"/>
      <c r="W5" s="109"/>
      <c r="X5" s="108"/>
      <c r="Y5" s="108"/>
      <c r="Z5" s="108"/>
    </row>
    <row r="6" spans="1:26" s="9" customFormat="1">
      <c r="A6" s="385" t="s">
        <v>93</v>
      </c>
      <c r="B6" s="386"/>
      <c r="C6" s="386"/>
      <c r="D6" s="386"/>
      <c r="E6" s="386"/>
      <c r="F6" s="387"/>
      <c r="G6" s="108"/>
      <c r="H6" s="109"/>
      <c r="I6" s="108"/>
      <c r="J6" s="108"/>
      <c r="K6" s="108"/>
      <c r="L6" s="108"/>
      <c r="M6" s="109"/>
      <c r="N6" s="108"/>
      <c r="O6" s="108"/>
      <c r="P6" s="108"/>
      <c r="Q6" s="108"/>
      <c r="R6" s="109"/>
      <c r="S6" s="108"/>
      <c r="T6" s="108"/>
      <c r="U6" s="108"/>
      <c r="V6" s="108"/>
      <c r="W6" s="109"/>
      <c r="X6" s="108"/>
      <c r="Y6" s="108"/>
      <c r="Z6" s="108"/>
    </row>
    <row r="7" spans="1:26">
      <c r="A7" s="103" t="s">
        <v>87</v>
      </c>
      <c r="B7" s="286">
        <v>200</v>
      </c>
      <c r="C7" s="96">
        <f>'Cow-Calf'!B28</f>
        <v>731.38461538461524</v>
      </c>
      <c r="D7" s="96">
        <f>B7*C7</f>
        <v>146276.92307692306</v>
      </c>
      <c r="E7" s="57"/>
      <c r="F7" s="249"/>
      <c r="G7" s="105"/>
      <c r="H7" s="110"/>
      <c r="I7" s="110"/>
      <c r="J7" s="105"/>
      <c r="K7" s="105"/>
      <c r="L7" s="105"/>
      <c r="M7" s="110"/>
      <c r="N7" s="110"/>
      <c r="O7" s="105"/>
      <c r="P7" s="105"/>
      <c r="Q7" s="105"/>
      <c r="R7" s="110"/>
      <c r="S7" s="110"/>
      <c r="T7" s="105"/>
      <c r="U7" s="105"/>
      <c r="V7" s="105"/>
      <c r="W7" s="110"/>
      <c r="X7" s="110"/>
      <c r="Y7" s="105"/>
      <c r="Z7" s="105"/>
    </row>
    <row r="8" spans="1:26">
      <c r="A8" s="103" t="s">
        <v>94</v>
      </c>
      <c r="B8" s="5">
        <f>B7*0.9</f>
        <v>180</v>
      </c>
      <c r="C8" s="96"/>
      <c r="D8" s="57"/>
      <c r="E8" s="57"/>
      <c r="F8" s="249"/>
      <c r="G8" s="105"/>
      <c r="H8" s="110"/>
      <c r="I8" s="105"/>
      <c r="J8" s="105"/>
      <c r="K8" s="105"/>
      <c r="L8" s="105"/>
      <c r="M8" s="110"/>
      <c r="N8" s="105"/>
      <c r="O8" s="105"/>
      <c r="P8" s="105"/>
      <c r="Q8" s="105"/>
      <c r="R8" s="110"/>
      <c r="S8" s="105"/>
      <c r="T8" s="105"/>
      <c r="U8" s="105"/>
      <c r="V8" s="105"/>
      <c r="W8" s="110"/>
      <c r="X8" s="105"/>
      <c r="Y8" s="105"/>
      <c r="Z8" s="105"/>
    </row>
    <row r="9" spans="1:26">
      <c r="A9" s="103" t="s">
        <v>96</v>
      </c>
      <c r="B9" s="124">
        <f>(B8/2)*0.25</f>
        <v>22.5</v>
      </c>
      <c r="C9" s="98">
        <v>400</v>
      </c>
      <c r="D9" s="96">
        <f>B9*C9</f>
        <v>9000</v>
      </c>
      <c r="E9" s="57"/>
      <c r="F9" s="249"/>
      <c r="G9" s="105"/>
      <c r="H9" s="110"/>
      <c r="I9" s="110"/>
      <c r="J9" s="105"/>
      <c r="K9" s="105"/>
      <c r="L9" s="105"/>
      <c r="M9" s="110"/>
      <c r="N9" s="110"/>
      <c r="O9" s="105"/>
      <c r="P9" s="105"/>
      <c r="Q9" s="105"/>
      <c r="R9" s="110"/>
      <c r="S9" s="110"/>
      <c r="T9" s="105"/>
      <c r="U9" s="105"/>
      <c r="V9" s="105"/>
      <c r="W9" s="110"/>
      <c r="X9" s="110"/>
      <c r="Y9" s="105"/>
      <c r="Z9" s="105"/>
    </row>
    <row r="10" spans="1:26">
      <c r="A10" s="103" t="s">
        <v>95</v>
      </c>
      <c r="B10" s="5">
        <f>(B7*0.1)</f>
        <v>20</v>
      </c>
      <c r="C10" s="96"/>
      <c r="D10" s="57"/>
      <c r="E10" s="99">
        <f>1100*0.9</f>
        <v>990</v>
      </c>
      <c r="F10" s="250">
        <f>B10*E10</f>
        <v>19800</v>
      </c>
      <c r="G10" s="105"/>
      <c r="H10" s="110"/>
      <c r="I10" s="105"/>
      <c r="J10" s="111"/>
      <c r="K10" s="112"/>
      <c r="L10" s="105"/>
      <c r="M10" s="110"/>
      <c r="N10" s="105"/>
      <c r="O10" s="111"/>
      <c r="P10" s="112"/>
      <c r="Q10" s="105"/>
      <c r="R10" s="110"/>
      <c r="S10" s="105"/>
      <c r="T10" s="111"/>
      <c r="U10" s="112"/>
      <c r="V10" s="105"/>
      <c r="W10" s="110"/>
      <c r="X10" s="105"/>
      <c r="Y10" s="111"/>
      <c r="Z10" s="112"/>
    </row>
    <row r="11" spans="1:26">
      <c r="A11" s="103" t="s">
        <v>92</v>
      </c>
      <c r="B11" s="125">
        <f>B7/33</f>
        <v>6.0606060606060606</v>
      </c>
      <c r="C11" s="98">
        <v>450</v>
      </c>
      <c r="D11" s="96">
        <f>B11*C11</f>
        <v>2727.272727272727</v>
      </c>
      <c r="E11" s="57"/>
      <c r="F11" s="249"/>
      <c r="G11" s="105"/>
      <c r="H11" s="110"/>
      <c r="I11" s="110"/>
      <c r="J11" s="105"/>
      <c r="K11" s="105"/>
      <c r="L11" s="105"/>
      <c r="M11" s="110"/>
      <c r="N11" s="110"/>
      <c r="O11" s="105"/>
      <c r="P11" s="105"/>
      <c r="Q11" s="105"/>
      <c r="R11" s="110"/>
      <c r="S11" s="110"/>
      <c r="T11" s="105"/>
      <c r="U11" s="105"/>
      <c r="V11" s="105"/>
      <c r="W11" s="110"/>
      <c r="X11" s="110"/>
      <c r="Y11" s="105"/>
      <c r="Z11" s="105"/>
    </row>
    <row r="12" spans="1:26">
      <c r="A12" s="103" t="s">
        <v>98</v>
      </c>
      <c r="B12" s="125">
        <f>B8-B9-B15</f>
        <v>57.5</v>
      </c>
      <c r="C12" s="96"/>
      <c r="D12" s="96"/>
      <c r="E12" s="99">
        <f>('Cow-Calf'!B33)*'Cow-Calf'!B8</f>
        <v>1446.5</v>
      </c>
      <c r="F12" s="250">
        <f>B12*E12</f>
        <v>83173.75</v>
      </c>
      <c r="G12" s="105"/>
      <c r="H12" s="110"/>
      <c r="I12" s="110"/>
      <c r="J12" s="111"/>
      <c r="K12" s="112"/>
      <c r="L12" s="105"/>
      <c r="M12" s="110"/>
      <c r="N12" s="110"/>
      <c r="O12" s="111"/>
      <c r="P12" s="112"/>
      <c r="Q12" s="105"/>
      <c r="R12" s="110"/>
      <c r="S12" s="110"/>
      <c r="T12" s="111"/>
      <c r="U12" s="112"/>
      <c r="V12" s="105"/>
      <c r="W12" s="110"/>
      <c r="X12" s="110"/>
      <c r="Y12" s="111"/>
      <c r="Z12" s="112"/>
    </row>
    <row r="13" spans="1:26" ht="30">
      <c r="A13" s="103" t="s">
        <v>128</v>
      </c>
      <c r="B13" s="286">
        <v>200</v>
      </c>
      <c r="C13" s="96">
        <f>Stocker!B29</f>
        <v>1680.3050108932462</v>
      </c>
      <c r="D13" s="96">
        <f>B13*C13</f>
        <v>336061.00217864924</v>
      </c>
      <c r="E13" s="99">
        <f>Stocker!B32</f>
        <v>1537.4999999999998</v>
      </c>
      <c r="F13" s="250">
        <f>B13*E13</f>
        <v>307499.99999999994</v>
      </c>
      <c r="G13" s="105"/>
      <c r="H13" s="110"/>
      <c r="I13" s="110"/>
      <c r="J13" s="111"/>
      <c r="K13" s="112"/>
      <c r="L13" s="105"/>
      <c r="M13" s="110"/>
      <c r="N13" s="110"/>
      <c r="O13" s="111"/>
      <c r="P13" s="112"/>
      <c r="Q13" s="105"/>
      <c r="R13" s="110"/>
      <c r="S13" s="110"/>
      <c r="T13" s="111"/>
      <c r="U13" s="112"/>
      <c r="V13" s="105"/>
      <c r="W13" s="110"/>
      <c r="X13" s="110"/>
      <c r="Y13" s="111"/>
      <c r="Z13" s="112"/>
    </row>
    <row r="14" spans="1:26" ht="30">
      <c r="A14" s="103" t="s">
        <v>119</v>
      </c>
      <c r="B14" s="286">
        <v>100</v>
      </c>
      <c r="C14" s="96">
        <f>Finishing!B6</f>
        <v>1631</v>
      </c>
      <c r="D14" s="96">
        <f>B14*C14</f>
        <v>163100</v>
      </c>
      <c r="E14" s="57"/>
      <c r="F14" s="249"/>
      <c r="G14" s="105"/>
      <c r="H14" s="110"/>
      <c r="I14" s="110"/>
      <c r="J14" s="105"/>
      <c r="K14" s="105"/>
      <c r="L14" s="105"/>
      <c r="M14" s="110"/>
      <c r="N14" s="110"/>
      <c r="O14" s="105"/>
      <c r="P14" s="105"/>
      <c r="Q14" s="105"/>
      <c r="R14" s="110"/>
      <c r="S14" s="110"/>
      <c r="T14" s="105"/>
      <c r="U14" s="105"/>
      <c r="V14" s="105"/>
      <c r="W14" s="110"/>
      <c r="X14" s="110"/>
      <c r="Y14" s="105"/>
      <c r="Z14" s="105"/>
    </row>
    <row r="15" spans="1:26" ht="30">
      <c r="A15" s="103" t="s">
        <v>97</v>
      </c>
      <c r="B15" s="286">
        <v>100</v>
      </c>
      <c r="C15" s="96"/>
      <c r="D15" s="96">
        <f>B15*C15</f>
        <v>0</v>
      </c>
      <c r="E15" s="57"/>
      <c r="F15" s="249"/>
      <c r="G15" s="113"/>
      <c r="H15" s="110"/>
      <c r="I15" s="110"/>
      <c r="J15" s="105"/>
      <c r="K15" s="105"/>
      <c r="L15" s="113"/>
      <c r="M15" s="110"/>
      <c r="N15" s="110"/>
      <c r="O15" s="105"/>
      <c r="P15" s="105"/>
      <c r="Q15" s="113"/>
      <c r="R15" s="110"/>
      <c r="S15" s="110"/>
      <c r="T15" s="105"/>
      <c r="U15" s="105"/>
      <c r="V15" s="113"/>
      <c r="W15" s="110"/>
      <c r="X15" s="110"/>
      <c r="Y15" s="105"/>
      <c r="Z15" s="105"/>
    </row>
    <row r="16" spans="1:26">
      <c r="A16" s="103" t="s">
        <v>105</v>
      </c>
      <c r="B16" s="126">
        <f>B14+B15</f>
        <v>200</v>
      </c>
      <c r="C16" s="96"/>
      <c r="D16" s="57"/>
      <c r="E16" s="57"/>
      <c r="F16" s="249"/>
      <c r="G16" s="107"/>
      <c r="H16" s="110"/>
      <c r="I16" s="105"/>
      <c r="J16" s="105"/>
      <c r="K16" s="105"/>
      <c r="L16" s="107"/>
      <c r="M16" s="110"/>
      <c r="N16" s="105"/>
      <c r="O16" s="105"/>
      <c r="P16" s="105"/>
      <c r="Q16" s="107"/>
      <c r="R16" s="110"/>
      <c r="S16" s="105"/>
      <c r="T16" s="105"/>
      <c r="U16" s="105"/>
      <c r="V16" s="107"/>
      <c r="W16" s="110"/>
      <c r="X16" s="105"/>
      <c r="Y16" s="105"/>
      <c r="Z16" s="105"/>
    </row>
    <row r="17" spans="1:26" s="68" customFormat="1">
      <c r="A17" s="104"/>
      <c r="B17" s="126"/>
      <c r="C17" s="75" t="s">
        <v>104</v>
      </c>
      <c r="D17" s="75">
        <f>SUM(D7:D15)</f>
        <v>657165.19798284501</v>
      </c>
      <c r="E17" s="76" t="s">
        <v>103</v>
      </c>
      <c r="F17" s="288">
        <f>SUM(F7:F15)</f>
        <v>410473.74999999994</v>
      </c>
      <c r="G17" s="107"/>
      <c r="H17" s="106"/>
      <c r="I17" s="106"/>
      <c r="J17" s="107"/>
      <c r="K17" s="114"/>
      <c r="L17" s="107"/>
      <c r="M17" s="106"/>
      <c r="N17" s="106"/>
      <c r="O17" s="107"/>
      <c r="P17" s="114"/>
      <c r="Q17" s="107"/>
      <c r="R17" s="106"/>
      <c r="S17" s="106"/>
      <c r="T17" s="107"/>
      <c r="U17" s="114"/>
      <c r="V17" s="107"/>
      <c r="W17" s="106"/>
      <c r="X17" s="106"/>
      <c r="Y17" s="107"/>
      <c r="Z17" s="114"/>
    </row>
    <row r="18" spans="1:26" s="68" customFormat="1">
      <c r="A18" s="104"/>
      <c r="B18" s="126"/>
      <c r="C18" s="75"/>
      <c r="D18" s="75"/>
      <c r="E18" s="76"/>
      <c r="F18" s="248"/>
      <c r="G18" s="107"/>
      <c r="H18" s="106"/>
      <c r="I18" s="106"/>
      <c r="J18" s="107"/>
      <c r="K18" s="107"/>
      <c r="L18" s="107"/>
      <c r="M18" s="106"/>
      <c r="N18" s="106"/>
      <c r="O18" s="107"/>
      <c r="P18" s="107"/>
      <c r="Q18" s="107"/>
      <c r="R18" s="106"/>
      <c r="S18" s="106"/>
      <c r="T18" s="107"/>
      <c r="U18" s="107"/>
      <c r="V18" s="107"/>
      <c r="W18" s="106"/>
      <c r="X18" s="106"/>
      <c r="Y18" s="107"/>
      <c r="Z18" s="107"/>
    </row>
    <row r="19" spans="1:26">
      <c r="A19" s="388" t="s">
        <v>100</v>
      </c>
      <c r="B19" s="389"/>
      <c r="C19" s="389"/>
      <c r="D19" s="389"/>
      <c r="E19" s="389"/>
      <c r="F19" s="390"/>
      <c r="G19" s="105"/>
      <c r="H19" s="110"/>
      <c r="I19" s="105"/>
      <c r="J19" s="105"/>
      <c r="K19" s="105"/>
      <c r="L19" s="105"/>
      <c r="M19" s="110"/>
      <c r="N19" s="105"/>
      <c r="O19" s="105"/>
      <c r="P19" s="105"/>
      <c r="Q19" s="105"/>
      <c r="R19" s="110"/>
      <c r="S19" s="105"/>
      <c r="T19" s="105"/>
      <c r="U19" s="105"/>
      <c r="V19" s="105"/>
      <c r="W19" s="110"/>
      <c r="X19" s="105"/>
      <c r="Y19" s="105"/>
      <c r="Z19" s="105"/>
    </row>
    <row r="20" spans="1:26" ht="30">
      <c r="A20" s="103" t="s">
        <v>106</v>
      </c>
      <c r="B20" s="286">
        <v>30</v>
      </c>
      <c r="C20" s="96">
        <f>'Direct Market'!F46</f>
        <v>0</v>
      </c>
      <c r="D20" s="96">
        <f>C20*B20</f>
        <v>0</v>
      </c>
      <c r="E20" s="99">
        <f>'Direct Market'!E47</f>
        <v>2923.2</v>
      </c>
      <c r="F20" s="250">
        <f>E20*B20</f>
        <v>87696</v>
      </c>
      <c r="G20" s="105"/>
      <c r="H20" s="110"/>
      <c r="I20" s="110"/>
      <c r="J20" s="115"/>
      <c r="K20" s="112"/>
      <c r="L20" s="105"/>
      <c r="M20" s="110"/>
      <c r="N20" s="110"/>
      <c r="O20" s="115"/>
      <c r="P20" s="112"/>
      <c r="Q20" s="105"/>
      <c r="R20" s="110"/>
      <c r="S20" s="110"/>
      <c r="T20" s="115"/>
      <c r="U20" s="112"/>
      <c r="V20" s="105"/>
      <c r="W20" s="110"/>
      <c r="X20" s="110"/>
      <c r="Y20" s="115"/>
      <c r="Z20" s="112"/>
    </row>
    <row r="21" spans="1:26" ht="45">
      <c r="A21" s="103" t="s">
        <v>107</v>
      </c>
      <c r="B21" s="125">
        <f>(B16-B20)*0.98</f>
        <v>166.6</v>
      </c>
      <c r="C21" s="96">
        <f>Finishing!H26</f>
        <v>416.76034858387811</v>
      </c>
      <c r="D21" s="96">
        <f>C21*B21</f>
        <v>69432.274074074085</v>
      </c>
      <c r="E21" s="99">
        <f>Finishing!B30</f>
        <v>2192.3999999999996</v>
      </c>
      <c r="F21" s="250">
        <f>E21*B21</f>
        <v>365253.83999999991</v>
      </c>
      <c r="G21" s="116"/>
      <c r="H21" s="110"/>
      <c r="I21" s="110"/>
      <c r="J21" s="111"/>
      <c r="K21" s="112"/>
      <c r="L21" s="116"/>
      <c r="M21" s="110"/>
      <c r="N21" s="110"/>
      <c r="O21" s="111"/>
      <c r="P21" s="112"/>
      <c r="Q21" s="116"/>
      <c r="R21" s="110"/>
      <c r="S21" s="110"/>
      <c r="T21" s="111"/>
      <c r="U21" s="112"/>
      <c r="V21" s="116"/>
      <c r="W21" s="110"/>
      <c r="X21" s="110"/>
      <c r="Y21" s="111"/>
      <c r="Z21" s="112"/>
    </row>
    <row r="22" spans="1:26">
      <c r="A22" s="33"/>
      <c r="B22" s="127">
        <f>B20+B21</f>
        <v>196.6</v>
      </c>
      <c r="C22" s="368" t="s">
        <v>120</v>
      </c>
      <c r="D22" s="368"/>
      <c r="E22" s="368"/>
      <c r="F22" s="221"/>
      <c r="G22" s="117"/>
      <c r="H22" s="118"/>
      <c r="I22" s="118"/>
      <c r="J22" s="118"/>
      <c r="K22" s="105"/>
      <c r="L22" s="107"/>
      <c r="M22" s="119"/>
      <c r="N22" s="119"/>
      <c r="O22" s="119"/>
      <c r="P22" s="105"/>
      <c r="Q22" s="117"/>
      <c r="R22" s="118"/>
      <c r="S22" s="118"/>
      <c r="T22" s="118"/>
      <c r="U22" s="105"/>
      <c r="V22" s="107"/>
      <c r="W22" s="118"/>
      <c r="X22" s="118"/>
      <c r="Y22" s="118"/>
      <c r="Z22" s="105"/>
    </row>
    <row r="23" spans="1:26">
      <c r="A23" s="33"/>
      <c r="B23" s="5"/>
      <c r="C23" s="75" t="s">
        <v>104</v>
      </c>
      <c r="D23" s="75">
        <f>D20+D21</f>
        <v>69432.274074074085</v>
      </c>
      <c r="E23" s="76" t="s">
        <v>103</v>
      </c>
      <c r="F23" s="289">
        <f>F20+F21</f>
        <v>452949.83999999991</v>
      </c>
      <c r="G23" s="105"/>
      <c r="H23" s="106"/>
      <c r="I23" s="106"/>
      <c r="J23" s="107"/>
      <c r="K23" s="120"/>
      <c r="L23" s="105"/>
      <c r="M23" s="106"/>
      <c r="N23" s="106"/>
      <c r="O23" s="107"/>
      <c r="P23" s="120"/>
      <c r="Q23" s="105"/>
      <c r="R23" s="106"/>
      <c r="S23" s="106"/>
      <c r="T23" s="107"/>
      <c r="U23" s="120"/>
      <c r="V23" s="105"/>
      <c r="W23" s="106"/>
      <c r="X23" s="106"/>
      <c r="Y23" s="107"/>
      <c r="Z23" s="120"/>
    </row>
    <row r="24" spans="1:26">
      <c r="A24" s="33"/>
      <c r="B24" s="5"/>
      <c r="C24" s="74"/>
      <c r="D24" s="73"/>
      <c r="E24" s="73"/>
      <c r="F24" s="221"/>
      <c r="G24" s="105"/>
      <c r="H24" s="110"/>
      <c r="I24" s="105"/>
      <c r="J24" s="105"/>
      <c r="K24" s="105"/>
      <c r="L24" s="105"/>
      <c r="M24" s="110"/>
      <c r="N24" s="105"/>
      <c r="O24" s="105"/>
      <c r="P24" s="105"/>
      <c r="Q24" s="105"/>
      <c r="R24" s="110"/>
      <c r="S24" s="105"/>
      <c r="T24" s="105"/>
      <c r="U24" s="105"/>
      <c r="V24" s="105"/>
      <c r="W24" s="110"/>
      <c r="X24" s="105"/>
      <c r="Y24" s="105"/>
      <c r="Z24" s="105"/>
    </row>
    <row r="25" spans="1:26" ht="15.75" thickBot="1">
      <c r="A25" s="80"/>
      <c r="B25" s="290"/>
      <c r="C25" s="82"/>
      <c r="D25" s="81"/>
      <c r="E25" s="83" t="s">
        <v>86</v>
      </c>
      <c r="F25" s="291">
        <f>F23+F17-D17-D23</f>
        <v>136826.11794308075</v>
      </c>
      <c r="G25" s="105"/>
      <c r="H25" s="110"/>
      <c r="I25" s="105"/>
      <c r="J25" s="107"/>
      <c r="K25" s="120"/>
      <c r="L25" s="105"/>
      <c r="M25" s="110"/>
      <c r="N25" s="105"/>
      <c r="O25" s="107"/>
      <c r="P25" s="120"/>
      <c r="Q25" s="105"/>
      <c r="R25" s="110"/>
      <c r="S25" s="105"/>
      <c r="T25" s="107"/>
      <c r="U25" s="120"/>
      <c r="V25" s="105"/>
      <c r="W25" s="110"/>
      <c r="X25" s="105"/>
      <c r="Y25" s="107"/>
      <c r="Z25" s="120"/>
    </row>
    <row r="26" spans="1:26">
      <c r="B26" s="6"/>
      <c r="D26" s="383" t="s">
        <v>121</v>
      </c>
      <c r="E26" s="384"/>
      <c r="F26" s="287">
        <f>(F25/D17)/2</f>
        <v>0.10410328967744008</v>
      </c>
      <c r="I26" s="364"/>
      <c r="J26" s="364"/>
      <c r="K26" s="84"/>
    </row>
    <row r="27" spans="1:26" ht="15.75" thickBot="1">
      <c r="D27" s="380" t="s">
        <v>122</v>
      </c>
      <c r="E27" s="381"/>
      <c r="F27" s="285">
        <f>((F25-E30)/D17)/2</f>
        <v>9.2597039677440082E-2</v>
      </c>
      <c r="I27" s="365"/>
      <c r="J27" s="365"/>
      <c r="K27" s="84"/>
    </row>
    <row r="28" spans="1:26" ht="15.75" thickBot="1"/>
    <row r="29" spans="1:26" ht="17.25">
      <c r="B29" s="282" t="s">
        <v>123</v>
      </c>
      <c r="C29" s="283" t="s">
        <v>203</v>
      </c>
      <c r="D29" s="283" t="s">
        <v>125</v>
      </c>
      <c r="E29" s="284" t="s">
        <v>126</v>
      </c>
      <c r="G29" s="85"/>
      <c r="H29" s="9"/>
      <c r="I29" s="9"/>
      <c r="J29" s="9"/>
    </row>
    <row r="30" spans="1:26" ht="15.75" thickBot="1">
      <c r="B30" s="278">
        <v>3.5000000000000003E-2</v>
      </c>
      <c r="C30" s="279">
        <v>240</v>
      </c>
      <c r="D30" s="280">
        <f>((D17*3.5%)*0.6575)/C30</f>
        <v>63.012558827417593</v>
      </c>
      <c r="E30" s="281">
        <f>C30*D30</f>
        <v>15123.014118580222</v>
      </c>
      <c r="G30" s="86"/>
      <c r="H30" s="7"/>
      <c r="I30" s="87"/>
      <c r="J30" s="88"/>
    </row>
  </sheetData>
  <mergeCells count="10">
    <mergeCell ref="D27:E27"/>
    <mergeCell ref="I27:J27"/>
    <mergeCell ref="A2:E2"/>
    <mergeCell ref="A1:C1"/>
    <mergeCell ref="B3:F3"/>
    <mergeCell ref="C22:E22"/>
    <mergeCell ref="D26:E26"/>
    <mergeCell ref="I26:J26"/>
    <mergeCell ref="A6:F6"/>
    <mergeCell ref="A19:F19"/>
  </mergeCells>
  <pageMargins left="0.7" right="0.7" top="0.75" bottom="0.75" header="0.3" footer="0.3"/>
  <pageSetup orientation="portrait" r:id="rId1"/>
  <headerFooter>
    <oddFooter>&amp;C&amp;G
www.pastureproject.org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0"/>
  <sheetViews>
    <sheetView zoomScale="85" zoomScaleNormal="85" workbookViewId="0">
      <selection activeCell="C25" sqref="C25"/>
    </sheetView>
  </sheetViews>
  <sheetFormatPr defaultColWidth="8.75" defaultRowHeight="15"/>
  <cols>
    <col min="1" max="1" width="31.125" style="6" customWidth="1"/>
    <col min="2" max="2" width="8.25" style="7" bestFit="1" customWidth="1"/>
    <col min="3" max="3" width="10.875" style="70" customWidth="1"/>
    <col min="4" max="4" width="11" style="7" bestFit="1" customWidth="1"/>
    <col min="5" max="5" width="11.125" style="7" customWidth="1"/>
    <col min="6" max="6" width="11" style="7" bestFit="1" customWidth="1"/>
    <col min="7" max="7" width="9" style="7" customWidth="1"/>
    <col min="8" max="8" width="14.375" style="6" customWidth="1"/>
    <col min="9" max="9" width="16" style="6" customWidth="1"/>
    <col min="10" max="10" width="13.375" style="6" customWidth="1"/>
    <col min="11" max="11" width="15" style="6" customWidth="1"/>
    <col min="12" max="12" width="8.75" style="6"/>
    <col min="13" max="13" width="12.75" style="6" customWidth="1"/>
    <col min="14" max="14" width="15.125" style="6" customWidth="1"/>
    <col min="15" max="15" width="14.375" style="6" customWidth="1"/>
    <col min="16" max="16" width="14.625" style="6" customWidth="1"/>
    <col min="17" max="17" width="8.75" style="6"/>
    <col min="18" max="18" width="13.375" style="6" customWidth="1"/>
    <col min="19" max="19" width="14.625" style="6" customWidth="1"/>
    <col min="20" max="20" width="14.375" style="6" customWidth="1"/>
    <col min="21" max="21" width="16.25" style="6" customWidth="1"/>
    <col min="22" max="22" width="8.75" style="6"/>
    <col min="23" max="23" width="13.625" style="6" customWidth="1"/>
    <col min="24" max="24" width="14.5" style="6" customWidth="1"/>
    <col min="25" max="25" width="14.25" style="6" customWidth="1"/>
    <col min="26" max="26" width="15.375" style="6" customWidth="1"/>
    <col min="27" max="16384" width="8.75" style="6"/>
  </cols>
  <sheetData>
    <row r="1" spans="1:26" ht="24" customHeight="1">
      <c r="A1" s="357" t="s">
        <v>116</v>
      </c>
      <c r="B1" s="391"/>
      <c r="C1" s="391"/>
    </row>
    <row r="2" spans="1:26" ht="58.5" customHeight="1" thickBot="1">
      <c r="A2" s="344" t="s">
        <v>183</v>
      </c>
      <c r="B2" s="340"/>
      <c r="C2" s="340"/>
      <c r="D2" s="391"/>
      <c r="E2" s="391"/>
      <c r="F2" s="391"/>
    </row>
    <row r="3" spans="1:26">
      <c r="A3" s="71"/>
      <c r="B3" s="366" t="s">
        <v>113</v>
      </c>
      <c r="C3" s="366"/>
      <c r="D3" s="366"/>
      <c r="E3" s="366"/>
      <c r="F3" s="367"/>
      <c r="G3" s="105"/>
      <c r="H3" s="105"/>
      <c r="I3" s="105"/>
      <c r="J3" s="105"/>
      <c r="K3" s="105"/>
      <c r="L3" s="105"/>
      <c r="M3" s="105"/>
      <c r="N3" s="105"/>
      <c r="O3" s="105"/>
      <c r="P3" s="105"/>
      <c r="Q3" s="105"/>
      <c r="R3" s="105"/>
      <c r="S3" s="105"/>
      <c r="T3" s="105"/>
      <c r="U3" s="105"/>
      <c r="V3" s="105"/>
      <c r="W3" s="105"/>
      <c r="X3" s="105"/>
      <c r="Y3" s="105"/>
      <c r="Z3" s="105"/>
    </row>
    <row r="4" spans="1:26">
      <c r="A4" s="33"/>
      <c r="B4" s="73"/>
      <c r="C4" s="75" t="s">
        <v>90</v>
      </c>
      <c r="D4" s="76" t="s">
        <v>90</v>
      </c>
      <c r="E4" s="73"/>
      <c r="F4" s="248" t="s">
        <v>75</v>
      </c>
      <c r="G4" s="105"/>
      <c r="H4" s="106"/>
      <c r="I4" s="107"/>
      <c r="J4" s="105"/>
      <c r="K4" s="107"/>
      <c r="L4" s="105"/>
      <c r="M4" s="106"/>
      <c r="N4" s="107"/>
      <c r="O4" s="105"/>
      <c r="P4" s="107"/>
      <c r="Q4" s="105"/>
      <c r="R4" s="106"/>
      <c r="S4" s="107"/>
      <c r="T4" s="105"/>
      <c r="U4" s="107"/>
      <c r="V4" s="105"/>
      <c r="W4" s="106"/>
      <c r="X4" s="107"/>
      <c r="Y4" s="105"/>
      <c r="Z4" s="107"/>
    </row>
    <row r="5" spans="1:26" s="9" customFormat="1">
      <c r="A5" s="255" t="s">
        <v>88</v>
      </c>
      <c r="B5" s="76" t="s">
        <v>91</v>
      </c>
      <c r="C5" s="75" t="s">
        <v>99</v>
      </c>
      <c r="D5" s="76" t="s">
        <v>89</v>
      </c>
      <c r="E5" s="76" t="s">
        <v>102</v>
      </c>
      <c r="F5" s="248" t="s">
        <v>103</v>
      </c>
      <c r="G5" s="108"/>
      <c r="H5" s="109"/>
      <c r="I5" s="108"/>
      <c r="J5" s="108"/>
      <c r="K5" s="108"/>
      <c r="L5" s="108"/>
      <c r="M5" s="109"/>
      <c r="N5" s="108"/>
      <c r="O5" s="108"/>
      <c r="P5" s="108"/>
      <c r="Q5" s="108"/>
      <c r="R5" s="109"/>
      <c r="S5" s="108"/>
      <c r="T5" s="108"/>
      <c r="U5" s="108"/>
      <c r="V5" s="108"/>
      <c r="W5" s="109"/>
      <c r="X5" s="108"/>
      <c r="Y5" s="108"/>
      <c r="Z5" s="108"/>
    </row>
    <row r="6" spans="1:26" s="9" customFormat="1">
      <c r="A6" s="385" t="s">
        <v>93</v>
      </c>
      <c r="B6" s="386"/>
      <c r="C6" s="386"/>
      <c r="D6" s="386"/>
      <c r="E6" s="386"/>
      <c r="F6" s="387"/>
      <c r="G6" s="108"/>
      <c r="H6" s="109"/>
      <c r="I6" s="108"/>
      <c r="J6" s="108"/>
      <c r="K6" s="108"/>
      <c r="L6" s="108"/>
      <c r="M6" s="109"/>
      <c r="N6" s="108"/>
      <c r="O6" s="108"/>
      <c r="P6" s="108"/>
      <c r="Q6" s="108"/>
      <c r="R6" s="109"/>
      <c r="S6" s="108"/>
      <c r="T6" s="108"/>
      <c r="U6" s="108"/>
      <c r="V6" s="108"/>
      <c r="W6" s="109"/>
      <c r="X6" s="108"/>
      <c r="Y6" s="108"/>
      <c r="Z6" s="108"/>
    </row>
    <row r="7" spans="1:26">
      <c r="A7" s="103" t="s">
        <v>87</v>
      </c>
      <c r="B7" s="95">
        <v>200</v>
      </c>
      <c r="C7" s="96">
        <f>'Cow-Calf'!B28</f>
        <v>731.38461538461524</v>
      </c>
      <c r="D7" s="96">
        <f>B7*C7</f>
        <v>146276.92307692306</v>
      </c>
      <c r="E7" s="57"/>
      <c r="F7" s="249"/>
      <c r="G7" s="105"/>
      <c r="H7" s="110"/>
      <c r="I7" s="110"/>
      <c r="J7" s="105"/>
      <c r="K7" s="105"/>
      <c r="L7" s="105"/>
      <c r="M7" s="110"/>
      <c r="N7" s="110"/>
      <c r="O7" s="105"/>
      <c r="P7" s="105"/>
      <c r="Q7" s="105"/>
      <c r="R7" s="110"/>
      <c r="S7" s="110"/>
      <c r="T7" s="105"/>
      <c r="U7" s="105"/>
      <c r="V7" s="105"/>
      <c r="W7" s="110"/>
      <c r="X7" s="110"/>
      <c r="Y7" s="105"/>
      <c r="Z7" s="105"/>
    </row>
    <row r="8" spans="1:26">
      <c r="A8" s="103" t="s">
        <v>94</v>
      </c>
      <c r="B8" s="57">
        <f>B7*0.9</f>
        <v>180</v>
      </c>
      <c r="C8" s="96"/>
      <c r="D8" s="57"/>
      <c r="E8" s="57"/>
      <c r="F8" s="249"/>
      <c r="G8" s="105"/>
      <c r="H8" s="110"/>
      <c r="I8" s="105"/>
      <c r="J8" s="105"/>
      <c r="K8" s="105"/>
      <c r="L8" s="105"/>
      <c r="M8" s="110"/>
      <c r="N8" s="105"/>
      <c r="O8" s="105"/>
      <c r="P8" s="105"/>
      <c r="Q8" s="105"/>
      <c r="R8" s="110"/>
      <c r="S8" s="105"/>
      <c r="T8" s="105"/>
      <c r="U8" s="105"/>
      <c r="V8" s="105"/>
      <c r="W8" s="110"/>
      <c r="X8" s="105"/>
      <c r="Y8" s="105"/>
      <c r="Z8" s="105"/>
    </row>
    <row r="9" spans="1:26">
      <c r="A9" s="103" t="s">
        <v>96</v>
      </c>
      <c r="B9" s="97">
        <f>(B8/2)*0.25</f>
        <v>22.5</v>
      </c>
      <c r="C9" s="98">
        <v>400</v>
      </c>
      <c r="D9" s="96">
        <f>B9*C9</f>
        <v>9000</v>
      </c>
      <c r="E9" s="57"/>
      <c r="F9" s="249"/>
      <c r="G9" s="105"/>
      <c r="H9" s="110"/>
      <c r="I9" s="110"/>
      <c r="J9" s="105"/>
      <c r="K9" s="105"/>
      <c r="L9" s="105"/>
      <c r="M9" s="110"/>
      <c r="N9" s="110"/>
      <c r="O9" s="105"/>
      <c r="P9" s="105"/>
      <c r="Q9" s="105"/>
      <c r="R9" s="110"/>
      <c r="S9" s="110"/>
      <c r="T9" s="105"/>
      <c r="U9" s="105"/>
      <c r="V9" s="105"/>
      <c r="W9" s="110"/>
      <c r="X9" s="110"/>
      <c r="Y9" s="105"/>
      <c r="Z9" s="105"/>
    </row>
    <row r="10" spans="1:26">
      <c r="A10" s="103" t="s">
        <v>95</v>
      </c>
      <c r="B10" s="57">
        <f>(B7*0.1)</f>
        <v>20</v>
      </c>
      <c r="C10" s="96"/>
      <c r="D10" s="57"/>
      <c r="E10" s="99">
        <f>1100*0.9</f>
        <v>990</v>
      </c>
      <c r="F10" s="250">
        <f>B10*E10</f>
        <v>19800</v>
      </c>
      <c r="G10" s="105"/>
      <c r="H10" s="110"/>
      <c r="I10" s="105"/>
      <c r="J10" s="111"/>
      <c r="K10" s="112"/>
      <c r="L10" s="105"/>
      <c r="M10" s="110"/>
      <c r="N10" s="105"/>
      <c r="O10" s="111"/>
      <c r="P10" s="112"/>
      <c r="Q10" s="105"/>
      <c r="R10" s="110"/>
      <c r="S10" s="105"/>
      <c r="T10" s="111"/>
      <c r="U10" s="112"/>
      <c r="V10" s="105"/>
      <c r="W10" s="110"/>
      <c r="X10" s="105"/>
      <c r="Y10" s="111"/>
      <c r="Z10" s="112"/>
    </row>
    <row r="11" spans="1:26">
      <c r="A11" s="103" t="s">
        <v>92</v>
      </c>
      <c r="B11" s="100">
        <f>B7/33</f>
        <v>6.0606060606060606</v>
      </c>
      <c r="C11" s="98">
        <v>450</v>
      </c>
      <c r="D11" s="96">
        <f>B11*C11</f>
        <v>2727.272727272727</v>
      </c>
      <c r="E11" s="57"/>
      <c r="F11" s="249"/>
      <c r="G11" s="105"/>
      <c r="H11" s="110"/>
      <c r="I11" s="110"/>
      <c r="J11" s="105"/>
      <c r="K11" s="105"/>
      <c r="L11" s="105"/>
      <c r="M11" s="110"/>
      <c r="N11" s="110"/>
      <c r="O11" s="105"/>
      <c r="P11" s="105"/>
      <c r="Q11" s="105"/>
      <c r="R11" s="110"/>
      <c r="S11" s="110"/>
      <c r="T11" s="105"/>
      <c r="U11" s="105"/>
      <c r="V11" s="105"/>
      <c r="W11" s="110"/>
      <c r="X11" s="110"/>
      <c r="Y11" s="105"/>
      <c r="Z11" s="105"/>
    </row>
    <row r="12" spans="1:26">
      <c r="A12" s="103" t="s">
        <v>98</v>
      </c>
      <c r="B12" s="100">
        <f>B8-B9-B15</f>
        <v>57.5</v>
      </c>
      <c r="C12" s="96"/>
      <c r="D12" s="96"/>
      <c r="E12" s="99">
        <f>('Cow-Calf'!B33)*'Cow-Calf'!B8</f>
        <v>1446.5</v>
      </c>
      <c r="F12" s="250">
        <f>B12*E12</f>
        <v>83173.75</v>
      </c>
      <c r="G12" s="105"/>
      <c r="H12" s="110"/>
      <c r="I12" s="110"/>
      <c r="J12" s="111"/>
      <c r="K12" s="112"/>
      <c r="L12" s="105"/>
      <c r="M12" s="110"/>
      <c r="N12" s="110"/>
      <c r="O12" s="111"/>
      <c r="P12" s="112"/>
      <c r="Q12" s="105"/>
      <c r="R12" s="110"/>
      <c r="S12" s="110"/>
      <c r="T12" s="111"/>
      <c r="U12" s="112"/>
      <c r="V12" s="105"/>
      <c r="W12" s="110"/>
      <c r="X12" s="110"/>
      <c r="Y12" s="111"/>
      <c r="Z12" s="112"/>
    </row>
    <row r="13" spans="1:26">
      <c r="A13" s="103" t="s">
        <v>128</v>
      </c>
      <c r="B13" s="95">
        <v>200</v>
      </c>
      <c r="C13" s="96">
        <f>Stocker!B29</f>
        <v>1680.3050108932462</v>
      </c>
      <c r="D13" s="96">
        <f>B13*C13</f>
        <v>336061.00217864924</v>
      </c>
      <c r="E13" s="99">
        <f>Stocker!B32</f>
        <v>1537.4999999999998</v>
      </c>
      <c r="F13" s="250">
        <f>B13*E13</f>
        <v>307499.99999999994</v>
      </c>
      <c r="G13" s="105"/>
      <c r="H13" s="110"/>
      <c r="I13" s="110"/>
      <c r="J13" s="111"/>
      <c r="K13" s="112"/>
      <c r="L13" s="105"/>
      <c r="M13" s="110"/>
      <c r="N13" s="110"/>
      <c r="O13" s="111"/>
      <c r="P13" s="112"/>
      <c r="Q13" s="105"/>
      <c r="R13" s="110"/>
      <c r="S13" s="110"/>
      <c r="T13" s="111"/>
      <c r="U13" s="112"/>
      <c r="V13" s="105"/>
      <c r="W13" s="110"/>
      <c r="X13" s="110"/>
      <c r="Y13" s="111"/>
      <c r="Z13" s="112"/>
    </row>
    <row r="14" spans="1:26" ht="30">
      <c r="A14" s="103" t="s">
        <v>119</v>
      </c>
      <c r="B14" s="95">
        <v>100</v>
      </c>
      <c r="C14" s="96">
        <f>Finishing!B6</f>
        <v>1631</v>
      </c>
      <c r="D14" s="96">
        <f>B14*C14</f>
        <v>163100</v>
      </c>
      <c r="E14" s="57"/>
      <c r="F14" s="249"/>
      <c r="G14" s="105"/>
      <c r="H14" s="110"/>
      <c r="I14" s="110"/>
      <c r="J14" s="105"/>
      <c r="K14" s="105"/>
      <c r="L14" s="105"/>
      <c r="M14" s="110"/>
      <c r="N14" s="110"/>
      <c r="O14" s="105"/>
      <c r="P14" s="105"/>
      <c r="Q14" s="105"/>
      <c r="R14" s="110"/>
      <c r="S14" s="110"/>
      <c r="T14" s="105"/>
      <c r="U14" s="105"/>
      <c r="V14" s="105"/>
      <c r="W14" s="110"/>
      <c r="X14" s="110"/>
      <c r="Y14" s="105"/>
      <c r="Z14" s="105"/>
    </row>
    <row r="15" spans="1:26" ht="30">
      <c r="A15" s="103" t="s">
        <v>97</v>
      </c>
      <c r="B15" s="95">
        <v>100</v>
      </c>
      <c r="C15" s="96"/>
      <c r="D15" s="96">
        <f>B15*C15</f>
        <v>0</v>
      </c>
      <c r="E15" s="57"/>
      <c r="F15" s="249"/>
      <c r="G15" s="113"/>
      <c r="H15" s="110"/>
      <c r="I15" s="110"/>
      <c r="J15" s="105"/>
      <c r="K15" s="105"/>
      <c r="L15" s="113"/>
      <c r="M15" s="110"/>
      <c r="N15" s="110"/>
      <c r="O15" s="105"/>
      <c r="P15" s="105"/>
      <c r="Q15" s="113"/>
      <c r="R15" s="110"/>
      <c r="S15" s="110"/>
      <c r="T15" s="105"/>
      <c r="U15" s="105"/>
      <c r="V15" s="113"/>
      <c r="W15" s="110"/>
      <c r="X15" s="110"/>
      <c r="Y15" s="105"/>
      <c r="Z15" s="105"/>
    </row>
    <row r="16" spans="1:26">
      <c r="A16" s="103" t="s">
        <v>105</v>
      </c>
      <c r="B16" s="101">
        <f>B14+B15</f>
        <v>200</v>
      </c>
      <c r="C16" s="96"/>
      <c r="D16" s="57"/>
      <c r="E16" s="57"/>
      <c r="F16" s="249"/>
      <c r="G16" s="107"/>
      <c r="H16" s="110"/>
      <c r="I16" s="105"/>
      <c r="J16" s="105"/>
      <c r="K16" s="105"/>
      <c r="L16" s="107"/>
      <c r="M16" s="110"/>
      <c r="N16" s="105"/>
      <c r="O16" s="105"/>
      <c r="P16" s="105"/>
      <c r="Q16" s="107"/>
      <c r="R16" s="110"/>
      <c r="S16" s="105"/>
      <c r="T16" s="105"/>
      <c r="U16" s="105"/>
      <c r="V16" s="107"/>
      <c r="W16" s="110"/>
      <c r="X16" s="105"/>
      <c r="Y16" s="105"/>
      <c r="Z16" s="105"/>
    </row>
    <row r="17" spans="1:26" s="68" customFormat="1">
      <c r="A17" s="104"/>
      <c r="B17" s="76"/>
      <c r="C17" s="75" t="s">
        <v>104</v>
      </c>
      <c r="D17" s="75">
        <f>SUM(D7:D15)</f>
        <v>657165.19798284501</v>
      </c>
      <c r="E17" s="76" t="s">
        <v>103</v>
      </c>
      <c r="F17" s="251">
        <f>SUM(F7:F15)</f>
        <v>410473.74999999994</v>
      </c>
      <c r="G17" s="107"/>
      <c r="H17" s="106"/>
      <c r="I17" s="106"/>
      <c r="J17" s="107"/>
      <c r="K17" s="114"/>
      <c r="L17" s="107"/>
      <c r="M17" s="106"/>
      <c r="N17" s="106"/>
      <c r="O17" s="107"/>
      <c r="P17" s="114"/>
      <c r="Q17" s="107"/>
      <c r="R17" s="106"/>
      <c r="S17" s="106"/>
      <c r="T17" s="107"/>
      <c r="U17" s="114"/>
      <c r="V17" s="107"/>
      <c r="W17" s="106"/>
      <c r="X17" s="106"/>
      <c r="Y17" s="107"/>
      <c r="Z17" s="114"/>
    </row>
    <row r="18" spans="1:26">
      <c r="A18" s="103"/>
      <c r="B18" s="73"/>
      <c r="C18" s="74"/>
      <c r="D18" s="73"/>
      <c r="E18" s="73"/>
      <c r="F18" s="221"/>
      <c r="G18" s="105"/>
      <c r="H18" s="110"/>
      <c r="I18" s="105"/>
      <c r="J18" s="105"/>
      <c r="K18" s="105"/>
      <c r="L18" s="105"/>
      <c r="M18" s="110"/>
      <c r="N18" s="105"/>
      <c r="O18" s="105"/>
      <c r="P18" s="105"/>
      <c r="Q18" s="105"/>
      <c r="R18" s="110"/>
      <c r="S18" s="105"/>
      <c r="T18" s="105"/>
      <c r="U18" s="105"/>
      <c r="V18" s="105"/>
      <c r="W18" s="110"/>
      <c r="X18" s="105"/>
      <c r="Y18" s="105"/>
      <c r="Z18" s="105"/>
    </row>
    <row r="19" spans="1:26">
      <c r="A19" s="388" t="s">
        <v>100</v>
      </c>
      <c r="B19" s="389"/>
      <c r="C19" s="389"/>
      <c r="D19" s="389"/>
      <c r="E19" s="389"/>
      <c r="F19" s="390"/>
      <c r="G19" s="105"/>
      <c r="H19" s="110"/>
      <c r="I19" s="105"/>
      <c r="J19" s="105"/>
      <c r="K19" s="105"/>
      <c r="L19" s="105"/>
      <c r="M19" s="110"/>
      <c r="N19" s="105"/>
      <c r="O19" s="105"/>
      <c r="P19" s="105"/>
      <c r="Q19" s="105"/>
      <c r="R19" s="110"/>
      <c r="S19" s="105"/>
      <c r="T19" s="105"/>
      <c r="U19" s="105"/>
      <c r="V19" s="105"/>
      <c r="W19" s="110"/>
      <c r="X19" s="105"/>
      <c r="Y19" s="105"/>
      <c r="Z19" s="105"/>
    </row>
    <row r="20" spans="1:26" ht="30">
      <c r="A20" s="103" t="s">
        <v>106</v>
      </c>
      <c r="B20" s="95">
        <v>40</v>
      </c>
      <c r="C20" s="96">
        <f>'Direct Market'!F46</f>
        <v>0</v>
      </c>
      <c r="D20" s="96">
        <f>C20*B20</f>
        <v>0</v>
      </c>
      <c r="E20" s="99">
        <f>'Direct Market'!E47</f>
        <v>2923.2</v>
      </c>
      <c r="F20" s="250">
        <f>E20*B20</f>
        <v>116928</v>
      </c>
      <c r="G20" s="105"/>
      <c r="H20" s="110"/>
      <c r="I20" s="110"/>
      <c r="J20" s="115"/>
      <c r="K20" s="112"/>
      <c r="L20" s="105"/>
      <c r="M20" s="110"/>
      <c r="N20" s="110"/>
      <c r="O20" s="115"/>
      <c r="P20" s="112"/>
      <c r="Q20" s="105"/>
      <c r="R20" s="110"/>
      <c r="S20" s="110"/>
      <c r="T20" s="115"/>
      <c r="U20" s="112"/>
      <c r="V20" s="105"/>
      <c r="W20" s="110"/>
      <c r="X20" s="110"/>
      <c r="Y20" s="115"/>
      <c r="Z20" s="112"/>
    </row>
    <row r="21" spans="1:26" ht="30">
      <c r="A21" s="103" t="s">
        <v>107</v>
      </c>
      <c r="B21" s="100">
        <f>(B16-B20)*0.98</f>
        <v>156.80000000000001</v>
      </c>
      <c r="C21" s="96">
        <f>Finishing!H26</f>
        <v>416.76034858387811</v>
      </c>
      <c r="D21" s="96">
        <f>C21*B21</f>
        <v>65348.02265795209</v>
      </c>
      <c r="E21" s="99">
        <f>Finishing!B30</f>
        <v>2192.3999999999996</v>
      </c>
      <c r="F21" s="250">
        <f>E21*B21</f>
        <v>343768.31999999995</v>
      </c>
      <c r="G21" s="116"/>
      <c r="H21" s="110"/>
      <c r="I21" s="110"/>
      <c r="J21" s="111"/>
      <c r="K21" s="112"/>
      <c r="L21" s="116"/>
      <c r="M21" s="110"/>
      <c r="N21" s="110"/>
      <c r="O21" s="111"/>
      <c r="P21" s="112"/>
      <c r="Q21" s="116"/>
      <c r="R21" s="110"/>
      <c r="S21" s="110"/>
      <c r="T21" s="111"/>
      <c r="U21" s="112"/>
      <c r="V21" s="116"/>
      <c r="W21" s="110"/>
      <c r="X21" s="110"/>
      <c r="Y21" s="111"/>
      <c r="Z21" s="112"/>
    </row>
    <row r="22" spans="1:26">
      <c r="A22" s="33"/>
      <c r="B22" s="122">
        <f>B20+B21</f>
        <v>196.8</v>
      </c>
      <c r="C22" s="368" t="s">
        <v>120</v>
      </c>
      <c r="D22" s="368"/>
      <c r="E22" s="368"/>
      <c r="F22" s="221"/>
      <c r="G22" s="117"/>
      <c r="H22" s="118"/>
      <c r="I22" s="118"/>
      <c r="J22" s="118"/>
      <c r="K22" s="105"/>
      <c r="L22" s="107"/>
      <c r="M22" s="119"/>
      <c r="N22" s="119"/>
      <c r="O22" s="119"/>
      <c r="P22" s="105"/>
      <c r="Q22" s="117"/>
      <c r="R22" s="118"/>
      <c r="S22" s="118"/>
      <c r="T22" s="118"/>
      <c r="U22" s="105"/>
      <c r="V22" s="107"/>
      <c r="W22" s="118"/>
      <c r="X22" s="118"/>
      <c r="Y22" s="118"/>
      <c r="Z22" s="105"/>
    </row>
    <row r="23" spans="1:26">
      <c r="A23" s="33"/>
      <c r="B23" s="73"/>
      <c r="C23" s="75" t="s">
        <v>104</v>
      </c>
      <c r="D23" s="102">
        <f>D20+D21</f>
        <v>65348.02265795209</v>
      </c>
      <c r="E23" s="76" t="s">
        <v>103</v>
      </c>
      <c r="F23" s="289">
        <f>F20+F21</f>
        <v>460696.31999999995</v>
      </c>
      <c r="G23" s="105"/>
      <c r="H23" s="106"/>
      <c r="I23" s="106"/>
      <c r="J23" s="107"/>
      <c r="K23" s="120"/>
      <c r="L23" s="105"/>
      <c r="M23" s="106"/>
      <c r="N23" s="106"/>
      <c r="O23" s="107"/>
      <c r="P23" s="120"/>
      <c r="Q23" s="105"/>
      <c r="R23" s="106"/>
      <c r="S23" s="106"/>
      <c r="T23" s="107"/>
      <c r="U23" s="120"/>
      <c r="V23" s="105"/>
      <c r="W23" s="106"/>
      <c r="X23" s="106"/>
      <c r="Y23" s="107"/>
      <c r="Z23" s="120"/>
    </row>
    <row r="24" spans="1:26">
      <c r="A24" s="33"/>
      <c r="B24" s="73"/>
      <c r="C24" s="74"/>
      <c r="D24" s="73"/>
      <c r="E24" s="73"/>
      <c r="F24" s="249"/>
      <c r="G24" s="105"/>
      <c r="H24" s="110"/>
      <c r="I24" s="105"/>
      <c r="J24" s="105"/>
      <c r="K24" s="105"/>
      <c r="L24" s="105"/>
      <c r="M24" s="110"/>
      <c r="N24" s="105"/>
      <c r="O24" s="105"/>
      <c r="P24" s="105"/>
      <c r="Q24" s="105"/>
      <c r="R24" s="110"/>
      <c r="S24" s="105"/>
      <c r="T24" s="105"/>
      <c r="U24" s="105"/>
      <c r="V24" s="105"/>
      <c r="W24" s="110"/>
      <c r="X24" s="105"/>
      <c r="Y24" s="105"/>
      <c r="Z24" s="105"/>
    </row>
    <row r="25" spans="1:26">
      <c r="A25" s="33"/>
      <c r="B25" s="73"/>
      <c r="C25" s="74"/>
      <c r="D25" s="73"/>
      <c r="E25" s="76" t="s">
        <v>86</v>
      </c>
      <c r="F25" s="289">
        <f>F23+F17-D17-D23</f>
        <v>148656.84935920272</v>
      </c>
      <c r="G25" s="105"/>
      <c r="H25" s="110"/>
      <c r="I25" s="105"/>
      <c r="J25" s="107"/>
      <c r="K25" s="120"/>
      <c r="L25" s="105"/>
      <c r="M25" s="110"/>
      <c r="N25" s="105"/>
      <c r="O25" s="107"/>
      <c r="P25" s="120"/>
      <c r="Q25" s="105"/>
      <c r="R25" s="110"/>
      <c r="S25" s="105"/>
      <c r="T25" s="107"/>
      <c r="U25" s="120"/>
      <c r="V25" s="105"/>
      <c r="W25" s="110"/>
      <c r="X25" s="105"/>
      <c r="Y25" s="107"/>
      <c r="Z25" s="120"/>
    </row>
    <row r="26" spans="1:26">
      <c r="A26" s="33"/>
      <c r="B26" s="73"/>
      <c r="C26" s="74"/>
      <c r="D26" s="392" t="s">
        <v>121</v>
      </c>
      <c r="E26" s="392"/>
      <c r="F26" s="292">
        <f>(F25/D17)/2</f>
        <v>0.11310462712838557</v>
      </c>
      <c r="I26" s="364"/>
      <c r="J26" s="364"/>
      <c r="K26" s="84"/>
    </row>
    <row r="27" spans="1:26" ht="15.75" thickBot="1">
      <c r="A27" s="80"/>
      <c r="B27" s="81"/>
      <c r="C27" s="82"/>
      <c r="D27" s="381" t="s">
        <v>122</v>
      </c>
      <c r="E27" s="381"/>
      <c r="F27" s="285">
        <f>((F25-E30)/D17)/2</f>
        <v>0.10159837712838556</v>
      </c>
      <c r="I27" s="365"/>
      <c r="J27" s="365"/>
      <c r="K27" s="84"/>
    </row>
    <row r="28" spans="1:26" ht="15.75" thickBot="1"/>
    <row r="29" spans="1:26" ht="17.25">
      <c r="B29" s="282" t="s">
        <v>123</v>
      </c>
      <c r="C29" s="283" t="s">
        <v>203</v>
      </c>
      <c r="D29" s="283" t="s">
        <v>125</v>
      </c>
      <c r="E29" s="284" t="s">
        <v>126</v>
      </c>
      <c r="G29" s="85"/>
      <c r="H29" s="9"/>
      <c r="I29" s="9"/>
      <c r="J29" s="9"/>
    </row>
    <row r="30" spans="1:26" ht="15.75" thickBot="1">
      <c r="B30" s="278">
        <v>3.5000000000000003E-2</v>
      </c>
      <c r="C30" s="279">
        <v>240</v>
      </c>
      <c r="D30" s="280">
        <f>((D17*3.5%)*0.6575)/C30</f>
        <v>63.012558827417593</v>
      </c>
      <c r="E30" s="281">
        <f>C30*D30</f>
        <v>15123.014118580222</v>
      </c>
      <c r="G30" s="86"/>
      <c r="H30" s="7"/>
      <c r="I30" s="87"/>
      <c r="J30" s="88"/>
    </row>
  </sheetData>
  <mergeCells count="10">
    <mergeCell ref="D27:E27"/>
    <mergeCell ref="I27:J27"/>
    <mergeCell ref="A2:F2"/>
    <mergeCell ref="A1:C1"/>
    <mergeCell ref="B3:F3"/>
    <mergeCell ref="C22:E22"/>
    <mergeCell ref="D26:E26"/>
    <mergeCell ref="I26:J26"/>
    <mergeCell ref="A6:F6"/>
    <mergeCell ref="A19:F19"/>
  </mergeCells>
  <pageMargins left="0.7" right="0.7" top="0.75" bottom="0.75" header="0.3" footer="0.3"/>
  <pageSetup orientation="portrait" r:id="rId1"/>
  <headerFooter>
    <oddFooter>&amp;C&amp;G
www.pastureproject.org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9"/>
  <sheetViews>
    <sheetView zoomScale="80" zoomScaleNormal="80" workbookViewId="0">
      <selection activeCell="F15" sqref="F15"/>
    </sheetView>
  </sheetViews>
  <sheetFormatPr defaultColWidth="8.75" defaultRowHeight="15"/>
  <cols>
    <col min="1" max="1" width="29.375" style="6" customWidth="1"/>
    <col min="2" max="2" width="8.25" style="7" bestFit="1" customWidth="1"/>
    <col min="3" max="3" width="10.875" style="70" customWidth="1"/>
    <col min="4" max="4" width="11.75" style="7" bestFit="1" customWidth="1"/>
    <col min="5" max="5" width="10.875" style="7" customWidth="1"/>
    <col min="6" max="6" width="11.375" style="7" customWidth="1"/>
    <col min="7" max="7" width="9" style="7" customWidth="1"/>
    <col min="8" max="8" width="14.375" style="6" customWidth="1"/>
    <col min="9" max="9" width="16" style="6" customWidth="1"/>
    <col min="10" max="10" width="13.375" style="6" customWidth="1"/>
    <col min="11" max="11" width="15" style="6" customWidth="1"/>
    <col min="12" max="12" width="8.75" style="6"/>
    <col min="13" max="13" width="12.75" style="6" customWidth="1"/>
    <col min="14" max="14" width="15.125" style="6" customWidth="1"/>
    <col min="15" max="15" width="14.375" style="6" customWidth="1"/>
    <col min="16" max="16" width="14.625" style="6" customWidth="1"/>
    <col min="17" max="17" width="8.75" style="6"/>
    <col min="18" max="18" width="13.375" style="6" customWidth="1"/>
    <col min="19" max="19" width="14.625" style="6" customWidth="1"/>
    <col min="20" max="20" width="14.375" style="6" customWidth="1"/>
    <col min="21" max="21" width="16.25" style="6" customWidth="1"/>
    <col min="22" max="22" width="8.75" style="6"/>
    <col min="23" max="23" width="13.625" style="6" customWidth="1"/>
    <col min="24" max="24" width="14.5" style="6" customWidth="1"/>
    <col min="25" max="25" width="14.25" style="6" customWidth="1"/>
    <col min="26" max="26" width="15.375" style="6" customWidth="1"/>
    <col min="27" max="16384" width="8.75" style="6"/>
  </cols>
  <sheetData>
    <row r="1" spans="1:26" ht="21.75" customHeight="1">
      <c r="A1" s="357" t="s">
        <v>116</v>
      </c>
      <c r="B1" s="382"/>
    </row>
    <row r="2" spans="1:26" ht="69.75" customHeight="1" thickBot="1">
      <c r="A2" s="344" t="s">
        <v>183</v>
      </c>
      <c r="B2" s="340"/>
      <c r="C2" s="340"/>
      <c r="D2" s="391"/>
      <c r="E2" s="391"/>
      <c r="F2" s="391"/>
    </row>
    <row r="3" spans="1:26">
      <c r="A3" s="71"/>
      <c r="B3" s="366" t="s">
        <v>114</v>
      </c>
      <c r="C3" s="366"/>
      <c r="D3" s="366"/>
      <c r="E3" s="366"/>
      <c r="F3" s="367"/>
      <c r="G3" s="105"/>
      <c r="H3" s="105"/>
      <c r="I3" s="105"/>
      <c r="J3" s="105"/>
      <c r="K3" s="105"/>
      <c r="L3" s="105"/>
      <c r="M3" s="105"/>
      <c r="N3" s="105"/>
      <c r="O3" s="105"/>
      <c r="P3" s="105"/>
      <c r="Q3" s="105"/>
      <c r="R3" s="105"/>
      <c r="S3" s="105"/>
      <c r="T3" s="105"/>
      <c r="U3" s="105"/>
      <c r="V3" s="105"/>
      <c r="W3" s="105"/>
      <c r="X3" s="105"/>
      <c r="Y3" s="105"/>
      <c r="Z3" s="105"/>
    </row>
    <row r="4" spans="1:26">
      <c r="A4" s="33"/>
      <c r="B4" s="73"/>
      <c r="C4" s="75" t="s">
        <v>90</v>
      </c>
      <c r="D4" s="76" t="s">
        <v>90</v>
      </c>
      <c r="E4" s="73"/>
      <c r="F4" s="248" t="s">
        <v>75</v>
      </c>
      <c r="G4" s="105"/>
      <c r="H4" s="106"/>
      <c r="I4" s="107"/>
      <c r="J4" s="105"/>
      <c r="K4" s="107"/>
      <c r="L4" s="105"/>
      <c r="M4" s="106"/>
      <c r="N4" s="107"/>
      <c r="O4" s="105"/>
      <c r="P4" s="107"/>
      <c r="Q4" s="105"/>
      <c r="R4" s="106"/>
      <c r="S4" s="107"/>
      <c r="T4" s="105"/>
      <c r="U4" s="107"/>
      <c r="V4" s="105"/>
      <c r="W4" s="106"/>
      <c r="X4" s="107"/>
      <c r="Y4" s="105"/>
      <c r="Z4" s="107"/>
    </row>
    <row r="5" spans="1:26" s="9" customFormat="1" ht="30">
      <c r="A5" s="255" t="s">
        <v>88</v>
      </c>
      <c r="B5" s="76" t="s">
        <v>91</v>
      </c>
      <c r="C5" s="256" t="s">
        <v>99</v>
      </c>
      <c r="D5" s="76" t="s">
        <v>89</v>
      </c>
      <c r="E5" s="257" t="s">
        <v>102</v>
      </c>
      <c r="F5" s="248" t="s">
        <v>103</v>
      </c>
      <c r="G5" s="108"/>
      <c r="H5" s="109"/>
      <c r="I5" s="108"/>
      <c r="J5" s="108"/>
      <c r="K5" s="108"/>
      <c r="L5" s="108"/>
      <c r="M5" s="109"/>
      <c r="N5" s="108"/>
      <c r="O5" s="108"/>
      <c r="P5" s="108"/>
      <c r="Q5" s="108"/>
      <c r="R5" s="109"/>
      <c r="S5" s="108"/>
      <c r="T5" s="108"/>
      <c r="U5" s="108"/>
      <c r="V5" s="108"/>
      <c r="W5" s="109"/>
      <c r="X5" s="108"/>
      <c r="Y5" s="108"/>
      <c r="Z5" s="108"/>
    </row>
    <row r="6" spans="1:26" s="9" customFormat="1">
      <c r="A6" s="385" t="s">
        <v>93</v>
      </c>
      <c r="B6" s="386"/>
      <c r="C6" s="386"/>
      <c r="D6" s="386"/>
      <c r="E6" s="386"/>
      <c r="F6" s="387"/>
      <c r="G6" s="108"/>
      <c r="H6" s="109"/>
      <c r="I6" s="108"/>
      <c r="J6" s="108"/>
      <c r="K6" s="108"/>
      <c r="L6" s="108"/>
      <c r="M6" s="109"/>
      <c r="N6" s="108"/>
      <c r="O6" s="108"/>
      <c r="P6" s="108"/>
      <c r="Q6" s="108"/>
      <c r="R6" s="109"/>
      <c r="S6" s="108"/>
      <c r="T6" s="108"/>
      <c r="U6" s="108"/>
      <c r="V6" s="108"/>
      <c r="W6" s="109"/>
      <c r="X6" s="108"/>
      <c r="Y6" s="108"/>
      <c r="Z6" s="108"/>
    </row>
    <row r="7" spans="1:26">
      <c r="A7" s="294" t="s">
        <v>87</v>
      </c>
      <c r="B7" s="95">
        <v>200</v>
      </c>
      <c r="C7" s="96">
        <f>'Cow-Calf'!B28</f>
        <v>731.38461538461524</v>
      </c>
      <c r="D7" s="96">
        <f>B7*C7</f>
        <v>146276.92307692306</v>
      </c>
      <c r="E7" s="57"/>
      <c r="F7" s="249"/>
      <c r="G7" s="105"/>
      <c r="H7" s="110"/>
      <c r="I7" s="110"/>
      <c r="J7" s="105"/>
      <c r="K7" s="105"/>
      <c r="L7" s="105"/>
      <c r="M7" s="110"/>
      <c r="N7" s="110"/>
      <c r="O7" s="105"/>
      <c r="P7" s="105"/>
      <c r="Q7" s="105"/>
      <c r="R7" s="110"/>
      <c r="S7" s="110"/>
      <c r="T7" s="105"/>
      <c r="U7" s="105"/>
      <c r="V7" s="105"/>
      <c r="W7" s="110"/>
      <c r="X7" s="110"/>
      <c r="Y7" s="105"/>
      <c r="Z7" s="105"/>
    </row>
    <row r="8" spans="1:26">
      <c r="A8" s="294" t="s">
        <v>94</v>
      </c>
      <c r="B8" s="57">
        <f>B7*0.9</f>
        <v>180</v>
      </c>
      <c r="C8" s="96"/>
      <c r="D8" s="57"/>
      <c r="E8" s="57"/>
      <c r="F8" s="249"/>
      <c r="G8" s="105"/>
      <c r="H8" s="110"/>
      <c r="I8" s="105"/>
      <c r="J8" s="105"/>
      <c r="K8" s="105"/>
      <c r="L8" s="105"/>
      <c r="M8" s="110"/>
      <c r="N8" s="105"/>
      <c r="O8" s="105"/>
      <c r="P8" s="105"/>
      <c r="Q8" s="105"/>
      <c r="R8" s="110"/>
      <c r="S8" s="105"/>
      <c r="T8" s="105"/>
      <c r="U8" s="105"/>
      <c r="V8" s="105"/>
      <c r="W8" s="110"/>
      <c r="X8" s="105"/>
      <c r="Y8" s="105"/>
      <c r="Z8" s="105"/>
    </row>
    <row r="9" spans="1:26">
      <c r="A9" s="294" t="s">
        <v>96</v>
      </c>
      <c r="B9" s="97">
        <f>(B8/2)*0.25</f>
        <v>22.5</v>
      </c>
      <c r="C9" s="98">
        <v>400</v>
      </c>
      <c r="D9" s="96">
        <f>B9*C9</f>
        <v>9000</v>
      </c>
      <c r="E9" s="57"/>
      <c r="F9" s="249"/>
      <c r="G9" s="105"/>
      <c r="H9" s="110"/>
      <c r="I9" s="110"/>
      <c r="J9" s="105"/>
      <c r="K9" s="105"/>
      <c r="L9" s="105"/>
      <c r="M9" s="110"/>
      <c r="N9" s="110"/>
      <c r="O9" s="105"/>
      <c r="P9" s="105"/>
      <c r="Q9" s="105"/>
      <c r="R9" s="110"/>
      <c r="S9" s="110"/>
      <c r="T9" s="105"/>
      <c r="U9" s="105"/>
      <c r="V9" s="105"/>
      <c r="W9" s="110"/>
      <c r="X9" s="110"/>
      <c r="Y9" s="105"/>
      <c r="Z9" s="105"/>
    </row>
    <row r="10" spans="1:26">
      <c r="A10" s="294" t="s">
        <v>95</v>
      </c>
      <c r="B10" s="57">
        <f>(B7*0.1)</f>
        <v>20</v>
      </c>
      <c r="C10" s="96"/>
      <c r="D10" s="57"/>
      <c r="E10" s="99">
        <f>1100*0.9</f>
        <v>990</v>
      </c>
      <c r="F10" s="250">
        <f>B10*E10</f>
        <v>19800</v>
      </c>
      <c r="G10" s="105"/>
      <c r="H10" s="110"/>
      <c r="I10" s="105"/>
      <c r="J10" s="111"/>
      <c r="K10" s="112"/>
      <c r="L10" s="105"/>
      <c r="M10" s="110"/>
      <c r="N10" s="105"/>
      <c r="O10" s="111"/>
      <c r="P10" s="112"/>
      <c r="Q10" s="105"/>
      <c r="R10" s="110"/>
      <c r="S10" s="105"/>
      <c r="T10" s="111"/>
      <c r="U10" s="112"/>
      <c r="V10" s="105"/>
      <c r="W10" s="110"/>
      <c r="X10" s="105"/>
      <c r="Y10" s="111"/>
      <c r="Z10" s="112"/>
    </row>
    <row r="11" spans="1:26">
      <c r="A11" s="294" t="s">
        <v>92</v>
      </c>
      <c r="B11" s="100">
        <f>B7/33</f>
        <v>6.0606060606060606</v>
      </c>
      <c r="C11" s="98">
        <v>450</v>
      </c>
      <c r="D11" s="96">
        <f>B11*C11</f>
        <v>2727.272727272727</v>
      </c>
      <c r="E11" s="57"/>
      <c r="F11" s="249"/>
      <c r="G11" s="105"/>
      <c r="H11" s="110"/>
      <c r="I11" s="110"/>
      <c r="J11" s="105"/>
      <c r="K11" s="105"/>
      <c r="L11" s="105"/>
      <c r="M11" s="110"/>
      <c r="N11" s="110"/>
      <c r="O11" s="105"/>
      <c r="P11" s="105"/>
      <c r="Q11" s="105"/>
      <c r="R11" s="110"/>
      <c r="S11" s="110"/>
      <c r="T11" s="105"/>
      <c r="U11" s="105"/>
      <c r="V11" s="105"/>
      <c r="W11" s="110"/>
      <c r="X11" s="110"/>
      <c r="Y11" s="105"/>
      <c r="Z11" s="105"/>
    </row>
    <row r="12" spans="1:26">
      <c r="A12" s="294" t="s">
        <v>98</v>
      </c>
      <c r="B12" s="100">
        <f>B8-B9-B15</f>
        <v>57.5</v>
      </c>
      <c r="C12" s="96"/>
      <c r="D12" s="96"/>
      <c r="E12" s="99">
        <f>('Cow-Calf'!B33)*'Cow-Calf'!B8</f>
        <v>1446.5</v>
      </c>
      <c r="F12" s="250">
        <f>B12*E12</f>
        <v>83173.75</v>
      </c>
      <c r="G12" s="105"/>
      <c r="H12" s="110"/>
      <c r="I12" s="110"/>
      <c r="J12" s="111"/>
      <c r="K12" s="112"/>
      <c r="L12" s="105"/>
      <c r="M12" s="110"/>
      <c r="N12" s="110"/>
      <c r="O12" s="111"/>
      <c r="P12" s="112"/>
      <c r="Q12" s="105"/>
      <c r="R12" s="110"/>
      <c r="S12" s="110"/>
      <c r="T12" s="111"/>
      <c r="U12" s="112"/>
      <c r="V12" s="105"/>
      <c r="W12" s="110"/>
      <c r="X12" s="110"/>
      <c r="Y12" s="111"/>
      <c r="Z12" s="112"/>
    </row>
    <row r="13" spans="1:26" ht="30">
      <c r="A13" s="294" t="s">
        <v>128</v>
      </c>
      <c r="B13" s="95">
        <v>100</v>
      </c>
      <c r="C13" s="96">
        <f>Stocker!B29</f>
        <v>1680.3050108932462</v>
      </c>
      <c r="D13" s="96">
        <f>B13*C13</f>
        <v>168030.50108932462</v>
      </c>
      <c r="E13" s="99">
        <f>Stocker!B32</f>
        <v>1537.4999999999998</v>
      </c>
      <c r="F13" s="250">
        <f>B13*E13</f>
        <v>153749.99999999997</v>
      </c>
      <c r="G13" s="105"/>
      <c r="H13" s="110"/>
      <c r="I13" s="110"/>
      <c r="J13" s="111"/>
      <c r="K13" s="112"/>
      <c r="L13" s="105"/>
      <c r="M13" s="110"/>
      <c r="N13" s="110"/>
      <c r="O13" s="111"/>
      <c r="P13" s="112"/>
      <c r="Q13" s="105"/>
      <c r="R13" s="110"/>
      <c r="S13" s="110"/>
      <c r="T13" s="111"/>
      <c r="U13" s="112"/>
      <c r="V13" s="105"/>
      <c r="W13" s="110"/>
      <c r="X13" s="110"/>
      <c r="Y13" s="111"/>
      <c r="Z13" s="112"/>
    </row>
    <row r="14" spans="1:26" ht="30">
      <c r="A14" s="294" t="s">
        <v>119</v>
      </c>
      <c r="B14" s="95">
        <v>100</v>
      </c>
      <c r="C14" s="96">
        <f>Finishing!B6</f>
        <v>1631</v>
      </c>
      <c r="D14" s="96">
        <f>B14*C14</f>
        <v>163100</v>
      </c>
      <c r="E14" s="57"/>
      <c r="F14" s="249"/>
      <c r="G14" s="105"/>
      <c r="H14" s="110"/>
      <c r="I14" s="110"/>
      <c r="J14" s="105"/>
      <c r="K14" s="105"/>
      <c r="L14" s="105"/>
      <c r="M14" s="110"/>
      <c r="N14" s="110"/>
      <c r="O14" s="105"/>
      <c r="P14" s="105"/>
      <c r="Q14" s="105"/>
      <c r="R14" s="110"/>
      <c r="S14" s="110"/>
      <c r="T14" s="105"/>
      <c r="U14" s="105"/>
      <c r="V14" s="105"/>
      <c r="W14" s="110"/>
      <c r="X14" s="110"/>
      <c r="Y14" s="105"/>
      <c r="Z14" s="105"/>
    </row>
    <row r="15" spans="1:26" ht="30">
      <c r="A15" s="294" t="s">
        <v>97</v>
      </c>
      <c r="B15" s="95">
        <v>100</v>
      </c>
      <c r="C15" s="96"/>
      <c r="D15" s="96">
        <f>B15*C15</f>
        <v>0</v>
      </c>
      <c r="E15" s="57"/>
      <c r="F15" s="249"/>
      <c r="G15" s="113"/>
      <c r="H15" s="110"/>
      <c r="I15" s="110"/>
      <c r="J15" s="105"/>
      <c r="K15" s="105"/>
      <c r="L15" s="113"/>
      <c r="M15" s="110"/>
      <c r="N15" s="110"/>
      <c r="O15" s="105"/>
      <c r="P15" s="105"/>
      <c r="Q15" s="113"/>
      <c r="R15" s="110"/>
      <c r="S15" s="110"/>
      <c r="T15" s="105"/>
      <c r="U15" s="105"/>
      <c r="V15" s="113"/>
      <c r="W15" s="110"/>
      <c r="X15" s="110"/>
      <c r="Y15" s="105"/>
      <c r="Z15" s="105"/>
    </row>
    <row r="16" spans="1:26">
      <c r="A16" s="294" t="s">
        <v>105</v>
      </c>
      <c r="B16" s="101">
        <f>B14+B15</f>
        <v>200</v>
      </c>
      <c r="C16" s="96"/>
      <c r="D16" s="57"/>
      <c r="E16" s="57"/>
      <c r="F16" s="249"/>
      <c r="G16" s="107"/>
      <c r="H16" s="110"/>
      <c r="I16" s="217"/>
      <c r="J16" s="105"/>
      <c r="K16" s="105"/>
      <c r="L16" s="107"/>
      <c r="M16" s="110"/>
      <c r="N16" s="105"/>
      <c r="O16" s="105"/>
      <c r="P16" s="105"/>
      <c r="Q16" s="107"/>
      <c r="R16" s="110"/>
      <c r="S16" s="105"/>
      <c r="T16" s="105"/>
      <c r="U16" s="105"/>
      <c r="V16" s="107"/>
      <c r="W16" s="110"/>
      <c r="X16" s="105"/>
      <c r="Y16" s="105"/>
      <c r="Z16" s="105"/>
    </row>
    <row r="17" spans="1:26" s="68" customFormat="1">
      <c r="A17" s="295"/>
      <c r="B17" s="101"/>
      <c r="C17" s="102" t="s">
        <v>104</v>
      </c>
      <c r="D17" s="102">
        <f>SUM(D7:D15)</f>
        <v>489134.69689352042</v>
      </c>
      <c r="E17" s="101" t="s">
        <v>103</v>
      </c>
      <c r="F17" s="251">
        <f>SUM(F7:F15)</f>
        <v>256723.74999999997</v>
      </c>
      <c r="G17" s="107"/>
      <c r="H17" s="106"/>
      <c r="I17" s="106"/>
      <c r="J17" s="107"/>
      <c r="K17" s="114"/>
      <c r="L17" s="107"/>
      <c r="M17" s="106"/>
      <c r="N17" s="106"/>
      <c r="O17" s="107"/>
      <c r="P17" s="114"/>
      <c r="Q17" s="107"/>
      <c r="R17" s="106"/>
      <c r="S17" s="106"/>
      <c r="T17" s="107"/>
      <c r="U17" s="114"/>
      <c r="V17" s="107"/>
      <c r="W17" s="106"/>
      <c r="X17" s="106"/>
      <c r="Y17" s="107"/>
      <c r="Z17" s="114"/>
    </row>
    <row r="18" spans="1:26" s="68" customFormat="1">
      <c r="A18" s="295"/>
      <c r="B18" s="101"/>
      <c r="C18" s="102"/>
      <c r="D18" s="102"/>
      <c r="E18" s="101"/>
      <c r="F18" s="296"/>
      <c r="G18" s="107"/>
      <c r="H18" s="106"/>
      <c r="I18" s="106"/>
      <c r="J18" s="107"/>
      <c r="K18" s="107"/>
      <c r="L18" s="107"/>
      <c r="M18" s="106"/>
      <c r="N18" s="106"/>
      <c r="O18" s="107"/>
      <c r="P18" s="107"/>
      <c r="Q18" s="107"/>
      <c r="R18" s="106"/>
      <c r="S18" s="106"/>
      <c r="T18" s="107"/>
      <c r="U18" s="107"/>
      <c r="V18" s="107"/>
      <c r="W18" s="106"/>
      <c r="X18" s="106"/>
      <c r="Y18" s="107"/>
      <c r="Z18" s="107"/>
    </row>
    <row r="19" spans="1:26">
      <c r="A19" s="371" t="s">
        <v>100</v>
      </c>
      <c r="B19" s="372"/>
      <c r="C19" s="372"/>
      <c r="D19" s="372"/>
      <c r="E19" s="372"/>
      <c r="F19" s="373"/>
      <c r="G19" s="105"/>
      <c r="H19" s="110"/>
      <c r="I19" s="105"/>
      <c r="J19" s="105"/>
      <c r="K19" s="105"/>
      <c r="L19" s="105"/>
      <c r="M19" s="110"/>
      <c r="N19" s="105"/>
      <c r="O19" s="105"/>
      <c r="P19" s="105"/>
      <c r="Q19" s="105"/>
      <c r="R19" s="110"/>
      <c r="S19" s="105"/>
      <c r="T19" s="105"/>
      <c r="U19" s="105"/>
      <c r="V19" s="105"/>
      <c r="W19" s="110"/>
      <c r="X19" s="105"/>
      <c r="Y19" s="105"/>
      <c r="Z19" s="105"/>
    </row>
    <row r="20" spans="1:26" ht="30">
      <c r="A20" s="294" t="s">
        <v>106</v>
      </c>
      <c r="B20" s="95">
        <v>50</v>
      </c>
      <c r="C20" s="96">
        <f>'Direct Market'!F46</f>
        <v>0</v>
      </c>
      <c r="D20" s="96">
        <f>C20*B20</f>
        <v>0</v>
      </c>
      <c r="E20" s="99">
        <f>'Direct Market'!E47</f>
        <v>2923.2</v>
      </c>
      <c r="F20" s="250">
        <f>E20*B20</f>
        <v>146160</v>
      </c>
      <c r="G20" s="105"/>
      <c r="H20" s="110"/>
      <c r="I20" s="110"/>
      <c r="J20" s="115"/>
      <c r="K20" s="112"/>
      <c r="L20" s="105"/>
      <c r="M20" s="110"/>
      <c r="N20" s="110"/>
      <c r="O20" s="115"/>
      <c r="P20" s="112"/>
      <c r="Q20" s="105"/>
      <c r="R20" s="110"/>
      <c r="S20" s="110"/>
      <c r="T20" s="115"/>
      <c r="U20" s="112"/>
      <c r="V20" s="105"/>
      <c r="W20" s="110"/>
      <c r="X20" s="110"/>
      <c r="Y20" s="115"/>
      <c r="Z20" s="112"/>
    </row>
    <row r="21" spans="1:26" ht="30">
      <c r="A21" s="294" t="s">
        <v>107</v>
      </c>
      <c r="B21" s="100">
        <f>(B16-B20)*0.98</f>
        <v>147</v>
      </c>
      <c r="C21" s="96">
        <f>Finishing!H26</f>
        <v>416.76034858387811</v>
      </c>
      <c r="D21" s="96">
        <f>C21*B21</f>
        <v>61263.77124183008</v>
      </c>
      <c r="E21" s="99">
        <f>Finishing!B30</f>
        <v>2192.3999999999996</v>
      </c>
      <c r="F21" s="250">
        <f>E21*B21</f>
        <v>322282.79999999993</v>
      </c>
      <c r="G21" s="116"/>
      <c r="H21" s="110"/>
      <c r="I21" s="110"/>
      <c r="J21" s="111"/>
      <c r="K21" s="112"/>
      <c r="L21" s="116"/>
      <c r="M21" s="110"/>
      <c r="N21" s="110"/>
      <c r="O21" s="111"/>
      <c r="P21" s="112"/>
      <c r="Q21" s="116"/>
      <c r="R21" s="110"/>
      <c r="S21" s="110"/>
      <c r="T21" s="111"/>
      <c r="U21" s="112"/>
      <c r="V21" s="116"/>
      <c r="W21" s="110"/>
      <c r="X21" s="110"/>
      <c r="Y21" s="111"/>
      <c r="Z21" s="112"/>
    </row>
    <row r="22" spans="1:26">
      <c r="A22" s="297"/>
      <c r="B22" s="122">
        <f>B20+B21</f>
        <v>197</v>
      </c>
      <c r="C22" s="393" t="s">
        <v>120</v>
      </c>
      <c r="D22" s="393"/>
      <c r="E22" s="393"/>
      <c r="F22" s="249"/>
      <c r="G22" s="117"/>
      <c r="H22" s="118"/>
      <c r="I22" s="118"/>
      <c r="J22" s="118"/>
      <c r="K22" s="105"/>
      <c r="L22" s="107"/>
      <c r="M22" s="119"/>
      <c r="N22" s="119"/>
      <c r="O22" s="119"/>
      <c r="P22" s="105"/>
      <c r="Q22" s="117"/>
      <c r="R22" s="118"/>
      <c r="S22" s="118"/>
      <c r="T22" s="118"/>
      <c r="U22" s="105"/>
      <c r="V22" s="107"/>
      <c r="W22" s="118"/>
      <c r="X22" s="118"/>
      <c r="Y22" s="118"/>
      <c r="Z22" s="105"/>
    </row>
    <row r="23" spans="1:26">
      <c r="A23" s="298"/>
      <c r="B23" s="57"/>
      <c r="C23" s="102" t="s">
        <v>104</v>
      </c>
      <c r="D23" s="102">
        <f>D20+D21</f>
        <v>61263.77124183008</v>
      </c>
      <c r="E23" s="101" t="s">
        <v>103</v>
      </c>
      <c r="F23" s="289">
        <f>F20+F21</f>
        <v>468442.79999999993</v>
      </c>
      <c r="G23" s="105"/>
      <c r="H23" s="106"/>
      <c r="I23" s="106"/>
      <c r="J23" s="107"/>
      <c r="K23" s="120"/>
      <c r="L23" s="105"/>
      <c r="M23" s="106"/>
      <c r="N23" s="106"/>
      <c r="O23" s="107"/>
      <c r="P23" s="120"/>
      <c r="Q23" s="105"/>
      <c r="R23" s="106"/>
      <c r="S23" s="106"/>
      <c r="T23" s="107"/>
      <c r="U23" s="120"/>
      <c r="V23" s="105"/>
      <c r="W23" s="106"/>
      <c r="X23" s="106"/>
      <c r="Y23" s="107"/>
      <c r="Z23" s="120"/>
    </row>
    <row r="24" spans="1:26" ht="15.75" thickBot="1">
      <c r="A24" s="299"/>
      <c r="B24" s="279"/>
      <c r="C24" s="300"/>
      <c r="D24" s="279"/>
      <c r="E24" s="301" t="s">
        <v>86</v>
      </c>
      <c r="F24" s="291">
        <f>F23+F17-D17-D23</f>
        <v>174768.08186464943</v>
      </c>
      <c r="G24" s="105"/>
      <c r="H24" s="110"/>
      <c r="I24" s="105"/>
      <c r="J24" s="107"/>
      <c r="K24" s="120"/>
      <c r="L24" s="105"/>
      <c r="M24" s="110"/>
      <c r="N24" s="105"/>
      <c r="O24" s="107"/>
      <c r="P24" s="120"/>
      <c r="Q24" s="105"/>
      <c r="R24" s="110"/>
      <c r="S24" s="105"/>
      <c r="T24" s="107"/>
      <c r="U24" s="120"/>
      <c r="V24" s="105"/>
      <c r="W24" s="110"/>
      <c r="X24" s="105"/>
      <c r="Y24" s="107"/>
      <c r="Z24" s="120"/>
    </row>
    <row r="25" spans="1:26">
      <c r="A25" s="123"/>
      <c r="B25" s="123"/>
      <c r="C25" s="293"/>
      <c r="D25" s="383" t="s">
        <v>121</v>
      </c>
      <c r="E25" s="384"/>
      <c r="F25" s="287">
        <f>(F24/D17)/2</f>
        <v>0.17865026032153944</v>
      </c>
      <c r="I25" s="364"/>
      <c r="J25" s="364"/>
      <c r="K25" s="84"/>
    </row>
    <row r="26" spans="1:26" ht="15.75" thickBot="1">
      <c r="A26" s="123"/>
      <c r="B26" s="123"/>
      <c r="C26" s="293"/>
      <c r="D26" s="380" t="s">
        <v>122</v>
      </c>
      <c r="E26" s="381"/>
      <c r="F26" s="285">
        <f>((F24-E29)/D17)/2</f>
        <v>0.16714401032153944</v>
      </c>
      <c r="I26" s="365"/>
      <c r="J26" s="365"/>
      <c r="K26" s="84"/>
    </row>
    <row r="27" spans="1:26" ht="15.75" thickBot="1"/>
    <row r="28" spans="1:26" ht="17.25">
      <c r="B28" s="282" t="s">
        <v>123</v>
      </c>
      <c r="C28" s="283" t="s">
        <v>124</v>
      </c>
      <c r="D28" s="283" t="s">
        <v>125</v>
      </c>
      <c r="E28" s="284" t="s">
        <v>126</v>
      </c>
      <c r="G28" s="85"/>
      <c r="H28" s="9"/>
      <c r="I28" s="9"/>
      <c r="J28" s="9"/>
    </row>
    <row r="29" spans="1:26" ht="15.75" thickBot="1">
      <c r="B29" s="278">
        <v>3.5000000000000003E-2</v>
      </c>
      <c r="C29" s="279">
        <v>240</v>
      </c>
      <c r="D29" s="280">
        <f>((D17*3.5%)*0.6575)/C29</f>
        <v>46.900884217758922</v>
      </c>
      <c r="E29" s="281">
        <f>C29*D29</f>
        <v>11256.21221226214</v>
      </c>
      <c r="G29" s="86"/>
      <c r="H29" s="7"/>
      <c r="I29" s="87"/>
      <c r="J29" s="88"/>
    </row>
  </sheetData>
  <mergeCells count="10">
    <mergeCell ref="D26:E26"/>
    <mergeCell ref="I26:J26"/>
    <mergeCell ref="A2:F2"/>
    <mergeCell ref="A1:B1"/>
    <mergeCell ref="B3:F3"/>
    <mergeCell ref="C22:E22"/>
    <mergeCell ref="D25:E25"/>
    <mergeCell ref="I25:J25"/>
    <mergeCell ref="A19:F19"/>
    <mergeCell ref="A6:F6"/>
  </mergeCells>
  <pageMargins left="0.7" right="0.7" top="0.75" bottom="0.75" header="0.3" footer="0.3"/>
  <pageSetup orientation="portrait" r:id="rId1"/>
  <headerFooter>
    <oddFooter>&amp;C&amp;G
www.pastureproject.org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1"/>
  <sheetViews>
    <sheetView zoomScale="80" zoomScaleNormal="80" workbookViewId="0">
      <selection activeCell="D10" sqref="D10"/>
    </sheetView>
  </sheetViews>
  <sheetFormatPr defaultColWidth="8.75" defaultRowHeight="15"/>
  <cols>
    <col min="1" max="1" width="29.75" style="6" customWidth="1"/>
    <col min="2" max="2" width="7.875" style="7" customWidth="1"/>
    <col min="3" max="3" width="10.875" style="70" customWidth="1"/>
    <col min="4" max="4" width="11.75" style="7" bestFit="1" customWidth="1"/>
    <col min="5" max="5" width="11.125" style="7" customWidth="1"/>
    <col min="6" max="6" width="11.75" style="7" bestFit="1" customWidth="1"/>
    <col min="7" max="7" width="9" style="7" customWidth="1"/>
    <col min="8" max="8" width="14.375" style="6" customWidth="1"/>
    <col min="9" max="9" width="16" style="6" customWidth="1"/>
    <col min="10" max="10" width="13.375" style="6" customWidth="1"/>
    <col min="11" max="11" width="15" style="6" customWidth="1"/>
    <col min="12" max="12" width="8.75" style="6"/>
    <col min="13" max="13" width="12.75" style="6" customWidth="1"/>
    <col min="14" max="14" width="15.125" style="6" customWidth="1"/>
    <col min="15" max="15" width="14.375" style="6" customWidth="1"/>
    <col min="16" max="16" width="14.625" style="6" customWidth="1"/>
    <col min="17" max="17" width="8.75" style="6"/>
    <col min="18" max="18" width="13.375" style="6" customWidth="1"/>
    <col min="19" max="19" width="14.625" style="6" customWidth="1"/>
    <col min="20" max="20" width="14.375" style="6" customWidth="1"/>
    <col min="21" max="21" width="16.25" style="6" customWidth="1"/>
    <col min="22" max="22" width="8.75" style="6"/>
    <col min="23" max="23" width="13.625" style="6" customWidth="1"/>
    <col min="24" max="24" width="14.5" style="6" customWidth="1"/>
    <col min="25" max="25" width="14.25" style="6" customWidth="1"/>
    <col min="26" max="26" width="15.375" style="6" customWidth="1"/>
    <col min="27" max="16384" width="8.75" style="6"/>
  </cols>
  <sheetData>
    <row r="1" spans="1:26" ht="24.75" customHeight="1">
      <c r="A1" s="357" t="s">
        <v>116</v>
      </c>
      <c r="B1" s="382"/>
      <c r="C1" s="382"/>
    </row>
    <row r="2" spans="1:26" ht="60" customHeight="1">
      <c r="A2" s="358" t="s">
        <v>183</v>
      </c>
      <c r="B2" s="340"/>
      <c r="C2" s="340"/>
      <c r="D2" s="391"/>
      <c r="E2" s="391"/>
      <c r="F2" s="391"/>
    </row>
    <row r="3" spans="1:26" ht="15.75" thickBot="1"/>
    <row r="4" spans="1:26">
      <c r="A4" s="71"/>
      <c r="B4" s="366" t="s">
        <v>115</v>
      </c>
      <c r="C4" s="366"/>
      <c r="D4" s="366"/>
      <c r="E4" s="366"/>
      <c r="F4" s="367"/>
      <c r="G4" s="105"/>
      <c r="H4" s="105"/>
      <c r="I4" s="105"/>
      <c r="J4" s="105"/>
      <c r="K4" s="105"/>
      <c r="L4" s="105"/>
      <c r="M4" s="105"/>
      <c r="N4" s="105"/>
      <c r="O4" s="105"/>
      <c r="P4" s="105"/>
      <c r="Q4" s="105"/>
      <c r="R4" s="105"/>
      <c r="S4" s="105"/>
      <c r="T4" s="105"/>
      <c r="U4" s="105"/>
      <c r="V4" s="105"/>
      <c r="W4" s="105"/>
      <c r="X4" s="105"/>
      <c r="Y4" s="105"/>
      <c r="Z4" s="105"/>
    </row>
    <row r="5" spans="1:26">
      <c r="A5" s="33"/>
      <c r="B5" s="73"/>
      <c r="C5" s="75" t="s">
        <v>90</v>
      </c>
      <c r="D5" s="76" t="s">
        <v>90</v>
      </c>
      <c r="E5" s="73"/>
      <c r="F5" s="248" t="s">
        <v>75</v>
      </c>
      <c r="G5" s="105"/>
      <c r="H5" s="106"/>
      <c r="I5" s="107"/>
      <c r="J5" s="105"/>
      <c r="K5" s="107"/>
      <c r="L5" s="105"/>
      <c r="M5" s="106"/>
      <c r="N5" s="107"/>
      <c r="O5" s="105"/>
      <c r="P5" s="107"/>
      <c r="Q5" s="105"/>
      <c r="R5" s="106"/>
      <c r="S5" s="107"/>
      <c r="T5" s="105"/>
      <c r="U5" s="107"/>
      <c r="V5" s="105"/>
      <c r="W5" s="106"/>
      <c r="X5" s="107"/>
      <c r="Y5" s="105"/>
      <c r="Z5" s="107"/>
    </row>
    <row r="6" spans="1:26" s="9" customFormat="1" ht="30" customHeight="1">
      <c r="A6" s="255" t="s">
        <v>88</v>
      </c>
      <c r="B6" s="76" t="s">
        <v>91</v>
      </c>
      <c r="C6" s="256" t="s">
        <v>99</v>
      </c>
      <c r="D6" s="76" t="s">
        <v>89</v>
      </c>
      <c r="E6" s="257" t="s">
        <v>102</v>
      </c>
      <c r="F6" s="248" t="s">
        <v>103</v>
      </c>
      <c r="G6" s="108"/>
      <c r="H6" s="109"/>
      <c r="I6" s="108"/>
      <c r="J6" s="108"/>
      <c r="K6" s="108"/>
      <c r="L6" s="108"/>
      <c r="M6" s="109"/>
      <c r="N6" s="108"/>
      <c r="O6" s="108"/>
      <c r="P6" s="108"/>
      <c r="Q6" s="108"/>
      <c r="R6" s="109"/>
      <c r="S6" s="108"/>
      <c r="T6" s="108"/>
      <c r="U6" s="108"/>
      <c r="V6" s="108"/>
      <c r="W6" s="109"/>
      <c r="X6" s="108"/>
      <c r="Y6" s="108"/>
      <c r="Z6" s="108"/>
    </row>
    <row r="7" spans="1:26" s="9" customFormat="1">
      <c r="A7" s="385" t="s">
        <v>93</v>
      </c>
      <c r="B7" s="386"/>
      <c r="C7" s="386"/>
      <c r="D7" s="386"/>
      <c r="E7" s="386"/>
      <c r="F7" s="387"/>
      <c r="G7" s="108"/>
      <c r="H7" s="109"/>
      <c r="I7" s="108"/>
      <c r="J7" s="108"/>
      <c r="K7" s="108"/>
      <c r="L7" s="108"/>
      <c r="M7" s="109"/>
      <c r="N7" s="108"/>
      <c r="O7" s="108"/>
      <c r="P7" s="108"/>
      <c r="Q7" s="108"/>
      <c r="R7" s="109"/>
      <c r="S7" s="108"/>
      <c r="T7" s="108"/>
      <c r="U7" s="108"/>
      <c r="V7" s="108"/>
      <c r="W7" s="109"/>
      <c r="X7" s="108"/>
      <c r="Y7" s="108"/>
      <c r="Z7" s="108"/>
    </row>
    <row r="8" spans="1:26">
      <c r="A8" s="103" t="s">
        <v>87</v>
      </c>
      <c r="B8" s="95">
        <v>200</v>
      </c>
      <c r="C8" s="96">
        <f>'Cow-Calf'!B28</f>
        <v>731.38461538461524</v>
      </c>
      <c r="D8" s="96">
        <f>B8*C8</f>
        <v>146276.92307692306</v>
      </c>
      <c r="E8" s="57"/>
      <c r="F8" s="249"/>
      <c r="G8" s="105"/>
      <c r="H8" s="110"/>
      <c r="I8" s="110"/>
      <c r="J8" s="105"/>
      <c r="K8" s="105"/>
      <c r="L8" s="105"/>
      <c r="M8" s="110"/>
      <c r="N8" s="110"/>
      <c r="O8" s="105"/>
      <c r="P8" s="105"/>
      <c r="Q8" s="105"/>
      <c r="R8" s="110"/>
      <c r="S8" s="110"/>
      <c r="T8" s="105"/>
      <c r="U8" s="105"/>
      <c r="V8" s="105"/>
      <c r="W8" s="110"/>
      <c r="X8" s="110"/>
      <c r="Y8" s="105"/>
      <c r="Z8" s="105"/>
    </row>
    <row r="9" spans="1:26">
      <c r="A9" s="103" t="s">
        <v>94</v>
      </c>
      <c r="B9" s="57">
        <f>B8*0.9</f>
        <v>180</v>
      </c>
      <c r="C9" s="96"/>
      <c r="D9" s="57"/>
      <c r="E9" s="57"/>
      <c r="F9" s="249"/>
      <c r="G9" s="105"/>
      <c r="H9" s="110"/>
      <c r="I9" s="105"/>
      <c r="J9" s="105"/>
      <c r="K9" s="105"/>
      <c r="L9" s="105"/>
      <c r="M9" s="110"/>
      <c r="N9" s="105"/>
      <c r="O9" s="105"/>
      <c r="P9" s="105"/>
      <c r="Q9" s="105"/>
      <c r="R9" s="110"/>
      <c r="S9" s="105"/>
      <c r="T9" s="105"/>
      <c r="U9" s="105"/>
      <c r="V9" s="105"/>
      <c r="W9" s="110"/>
      <c r="X9" s="105"/>
      <c r="Y9" s="105"/>
      <c r="Z9" s="105"/>
    </row>
    <row r="10" spans="1:26">
      <c r="A10" s="103" t="s">
        <v>96</v>
      </c>
      <c r="B10" s="97">
        <f>(B9/2)*0.25</f>
        <v>22.5</v>
      </c>
      <c r="C10" s="98">
        <v>400</v>
      </c>
      <c r="D10" s="96">
        <f>B10*C10</f>
        <v>9000</v>
      </c>
      <c r="E10" s="57"/>
      <c r="F10" s="249"/>
      <c r="G10" s="105"/>
      <c r="H10" s="110"/>
      <c r="I10" s="110"/>
      <c r="J10" s="105"/>
      <c r="K10" s="105"/>
      <c r="L10" s="105"/>
      <c r="M10" s="110"/>
      <c r="N10" s="110"/>
      <c r="O10" s="105"/>
      <c r="P10" s="105"/>
      <c r="Q10" s="105"/>
      <c r="R10" s="110"/>
      <c r="S10" s="110"/>
      <c r="T10" s="105"/>
      <c r="U10" s="105"/>
      <c r="V10" s="105"/>
      <c r="W10" s="110"/>
      <c r="X10" s="110"/>
      <c r="Y10" s="105"/>
      <c r="Z10" s="105"/>
    </row>
    <row r="11" spans="1:26">
      <c r="A11" s="103" t="s">
        <v>95</v>
      </c>
      <c r="B11" s="57">
        <f>(B8*0.1)</f>
        <v>20</v>
      </c>
      <c r="C11" s="96"/>
      <c r="D11" s="57"/>
      <c r="E11" s="99">
        <f>1100*0.9</f>
        <v>990</v>
      </c>
      <c r="F11" s="250">
        <f>B11*E11</f>
        <v>19800</v>
      </c>
      <c r="G11" s="105"/>
      <c r="H11" s="110"/>
      <c r="I11" s="105"/>
      <c r="J11" s="111"/>
      <c r="K11" s="112"/>
      <c r="L11" s="105"/>
      <c r="M11" s="110"/>
      <c r="N11" s="105"/>
      <c r="O11" s="111"/>
      <c r="P11" s="112"/>
      <c r="Q11" s="105"/>
      <c r="R11" s="110"/>
      <c r="S11" s="105"/>
      <c r="T11" s="111"/>
      <c r="U11" s="112"/>
      <c r="V11" s="105"/>
      <c r="W11" s="110"/>
      <c r="X11" s="105"/>
      <c r="Y11" s="111"/>
      <c r="Z11" s="112"/>
    </row>
    <row r="12" spans="1:26">
      <c r="A12" s="103" t="s">
        <v>92</v>
      </c>
      <c r="B12" s="100">
        <f>B8/33</f>
        <v>6.0606060606060606</v>
      </c>
      <c r="C12" s="98">
        <v>450</v>
      </c>
      <c r="D12" s="96">
        <f>B12*C12</f>
        <v>2727.272727272727</v>
      </c>
      <c r="E12" s="57"/>
      <c r="F12" s="249"/>
      <c r="G12" s="105"/>
      <c r="H12" s="110"/>
      <c r="I12" s="110"/>
      <c r="J12" s="105"/>
      <c r="K12" s="105"/>
      <c r="L12" s="105"/>
      <c r="M12" s="110"/>
      <c r="N12" s="110"/>
      <c r="O12" s="105"/>
      <c r="P12" s="105"/>
      <c r="Q12" s="105"/>
      <c r="R12" s="110"/>
      <c r="S12" s="110"/>
      <c r="T12" s="105"/>
      <c r="U12" s="105"/>
      <c r="V12" s="105"/>
      <c r="W12" s="110"/>
      <c r="X12" s="110"/>
      <c r="Y12" s="105"/>
      <c r="Z12" s="105"/>
    </row>
    <row r="13" spans="1:26">
      <c r="A13" s="103" t="s">
        <v>98</v>
      </c>
      <c r="B13" s="100">
        <f>B9-B10-B16</f>
        <v>57.5</v>
      </c>
      <c r="C13" s="96"/>
      <c r="D13" s="96"/>
      <c r="E13" s="99">
        <f>('Cow-Calf'!B33)*'Cow-Calf'!B8</f>
        <v>1446.5</v>
      </c>
      <c r="F13" s="250">
        <f>B13*E13</f>
        <v>83173.75</v>
      </c>
      <c r="G13" s="105"/>
      <c r="H13" s="110"/>
      <c r="I13" s="110"/>
      <c r="J13" s="111"/>
      <c r="K13" s="112"/>
      <c r="L13" s="105"/>
      <c r="M13" s="110"/>
      <c r="N13" s="110"/>
      <c r="O13" s="111"/>
      <c r="P13" s="112"/>
      <c r="Q13" s="105"/>
      <c r="R13" s="110"/>
      <c r="S13" s="110"/>
      <c r="T13" s="111"/>
      <c r="U13" s="112"/>
      <c r="V13" s="105"/>
      <c r="W13" s="110"/>
      <c r="X13" s="110"/>
      <c r="Y13" s="111"/>
      <c r="Z13" s="112"/>
    </row>
    <row r="14" spans="1:26" ht="30">
      <c r="A14" s="103" t="s">
        <v>128</v>
      </c>
      <c r="B14" s="95">
        <v>100</v>
      </c>
      <c r="C14" s="96">
        <f>Stocker!B29</f>
        <v>1680.3050108932462</v>
      </c>
      <c r="D14" s="96">
        <f>B14*C14</f>
        <v>168030.50108932462</v>
      </c>
      <c r="E14" s="99">
        <f>Stocker!B32</f>
        <v>1537.4999999999998</v>
      </c>
      <c r="F14" s="250">
        <f>B14*E14</f>
        <v>153749.99999999997</v>
      </c>
      <c r="G14" s="105"/>
      <c r="H14" s="110"/>
      <c r="I14" s="110"/>
      <c r="J14" s="111"/>
      <c r="K14" s="112"/>
      <c r="L14" s="105"/>
      <c r="M14" s="110"/>
      <c r="N14" s="110"/>
      <c r="O14" s="111"/>
      <c r="P14" s="112"/>
      <c r="Q14" s="105"/>
      <c r="R14" s="110"/>
      <c r="S14" s="110"/>
      <c r="T14" s="111"/>
      <c r="U14" s="112"/>
      <c r="V14" s="105"/>
      <c r="W14" s="110"/>
      <c r="X14" s="110"/>
      <c r="Y14" s="111"/>
      <c r="Z14" s="112"/>
    </row>
    <row r="15" spans="1:26" ht="30">
      <c r="A15" s="103" t="s">
        <v>119</v>
      </c>
      <c r="B15" s="95">
        <v>100</v>
      </c>
      <c r="C15" s="96">
        <f>Finishing!B6</f>
        <v>1631</v>
      </c>
      <c r="D15" s="96">
        <f>B15*C15</f>
        <v>163100</v>
      </c>
      <c r="E15" s="57"/>
      <c r="F15" s="249"/>
      <c r="G15" s="105"/>
      <c r="H15" s="110"/>
      <c r="I15" s="110"/>
      <c r="J15" s="105"/>
      <c r="K15" s="105"/>
      <c r="L15" s="105"/>
      <c r="M15" s="110"/>
      <c r="N15" s="110"/>
      <c r="O15" s="105"/>
      <c r="P15" s="105"/>
      <c r="Q15" s="105"/>
      <c r="R15" s="110"/>
      <c r="S15" s="110"/>
      <c r="T15" s="105"/>
      <c r="U15" s="105"/>
      <c r="V15" s="105"/>
      <c r="W15" s="110"/>
      <c r="X15" s="110"/>
      <c r="Y15" s="105"/>
      <c r="Z15" s="105"/>
    </row>
    <row r="16" spans="1:26" ht="30">
      <c r="A16" s="103" t="s">
        <v>97</v>
      </c>
      <c r="B16" s="95">
        <v>100</v>
      </c>
      <c r="C16" s="96"/>
      <c r="D16" s="96">
        <f>B16*C16</f>
        <v>0</v>
      </c>
      <c r="E16" s="57"/>
      <c r="F16" s="249"/>
      <c r="G16" s="113"/>
      <c r="H16" s="110"/>
      <c r="I16" s="110"/>
      <c r="J16" s="105"/>
      <c r="K16" s="105"/>
      <c r="L16" s="113"/>
      <c r="M16" s="110"/>
      <c r="N16" s="110"/>
      <c r="O16" s="105"/>
      <c r="P16" s="105"/>
      <c r="Q16" s="113"/>
      <c r="R16" s="110"/>
      <c r="S16" s="110"/>
      <c r="T16" s="105"/>
      <c r="U16" s="105"/>
      <c r="V16" s="113"/>
      <c r="W16" s="110"/>
      <c r="X16" s="110"/>
      <c r="Y16" s="105"/>
      <c r="Z16" s="105"/>
    </row>
    <row r="17" spans="1:26">
      <c r="A17" s="103" t="s">
        <v>105</v>
      </c>
      <c r="B17" s="101">
        <f>B15+B16</f>
        <v>200</v>
      </c>
      <c r="C17" s="96"/>
      <c r="D17" s="57"/>
      <c r="E17" s="57"/>
      <c r="F17" s="249"/>
      <c r="G17" s="107"/>
      <c r="H17" s="110"/>
      <c r="I17" s="105"/>
      <c r="J17" s="105"/>
      <c r="K17" s="105"/>
      <c r="L17" s="107"/>
      <c r="M17" s="110"/>
      <c r="N17" s="105"/>
      <c r="O17" s="105"/>
      <c r="P17" s="105"/>
      <c r="Q17" s="107"/>
      <c r="R17" s="110"/>
      <c r="S17" s="105"/>
      <c r="T17" s="105"/>
      <c r="U17" s="105"/>
      <c r="V17" s="107"/>
      <c r="W17" s="110"/>
      <c r="X17" s="105"/>
      <c r="Y17" s="105"/>
      <c r="Z17" s="105"/>
    </row>
    <row r="18" spans="1:26" s="68" customFormat="1">
      <c r="A18" s="104"/>
      <c r="B18" s="76"/>
      <c r="C18" s="75" t="s">
        <v>104</v>
      </c>
      <c r="D18" s="102">
        <f>SUM(D8:D16)</f>
        <v>489134.69689352042</v>
      </c>
      <c r="E18" s="76" t="s">
        <v>103</v>
      </c>
      <c r="F18" s="251">
        <f>SUM(F8:F16)</f>
        <v>256723.74999999997</v>
      </c>
      <c r="G18" s="107"/>
      <c r="H18" s="106"/>
      <c r="I18" s="106"/>
      <c r="J18" s="107"/>
      <c r="K18" s="114"/>
      <c r="L18" s="107"/>
      <c r="M18" s="106"/>
      <c r="N18" s="106"/>
      <c r="O18" s="107"/>
      <c r="P18" s="114"/>
      <c r="Q18" s="107"/>
      <c r="R18" s="106"/>
      <c r="S18" s="106"/>
      <c r="T18" s="107"/>
      <c r="U18" s="114"/>
      <c r="V18" s="107"/>
      <c r="W18" s="106"/>
      <c r="X18" s="106"/>
      <c r="Y18" s="107"/>
      <c r="Z18" s="114"/>
    </row>
    <row r="19" spans="1:26" s="68" customFormat="1">
      <c r="A19" s="104"/>
      <c r="B19" s="76"/>
      <c r="C19" s="75"/>
      <c r="D19" s="75"/>
      <c r="E19" s="76"/>
      <c r="F19" s="248"/>
      <c r="G19" s="107"/>
      <c r="H19" s="106"/>
      <c r="I19" s="106"/>
      <c r="J19" s="107"/>
      <c r="K19" s="107"/>
      <c r="L19" s="107"/>
      <c r="M19" s="106"/>
      <c r="N19" s="106"/>
      <c r="O19" s="107"/>
      <c r="P19" s="107"/>
      <c r="Q19" s="107"/>
      <c r="R19" s="106"/>
      <c r="S19" s="106"/>
      <c r="T19" s="107"/>
      <c r="U19" s="107"/>
      <c r="V19" s="107"/>
      <c r="W19" s="106"/>
      <c r="X19" s="106"/>
      <c r="Y19" s="107"/>
      <c r="Z19" s="107"/>
    </row>
    <row r="20" spans="1:26">
      <c r="A20" s="388" t="s">
        <v>100</v>
      </c>
      <c r="B20" s="389"/>
      <c r="C20" s="389"/>
      <c r="D20" s="389"/>
      <c r="E20" s="389"/>
      <c r="F20" s="390"/>
      <c r="G20" s="105"/>
      <c r="H20" s="110"/>
      <c r="I20" s="105"/>
      <c r="J20" s="105"/>
      <c r="K20" s="105"/>
      <c r="L20" s="105"/>
      <c r="M20" s="110"/>
      <c r="N20" s="105"/>
      <c r="O20" s="105"/>
      <c r="P20" s="105"/>
      <c r="Q20" s="105"/>
      <c r="R20" s="110"/>
      <c r="S20" s="105"/>
      <c r="T20" s="105"/>
      <c r="U20" s="105"/>
      <c r="V20" s="105"/>
      <c r="W20" s="110"/>
      <c r="X20" s="105"/>
      <c r="Y20" s="105"/>
      <c r="Z20" s="105"/>
    </row>
    <row r="21" spans="1:26" ht="30">
      <c r="A21" s="103" t="s">
        <v>106</v>
      </c>
      <c r="B21" s="95">
        <v>50</v>
      </c>
      <c r="C21" s="96">
        <f>'Direct Market'!F46</f>
        <v>0</v>
      </c>
      <c r="D21" s="96">
        <f>C21*B21</f>
        <v>0</v>
      </c>
      <c r="E21" s="99">
        <f>'Direct Market'!E47</f>
        <v>2923.2</v>
      </c>
      <c r="F21" s="250">
        <f>E21*B21</f>
        <v>146160</v>
      </c>
      <c r="G21" s="105"/>
      <c r="H21" s="110"/>
      <c r="I21" s="110"/>
      <c r="J21" s="115"/>
      <c r="K21" s="112"/>
      <c r="L21" s="105"/>
      <c r="M21" s="110"/>
      <c r="N21" s="110"/>
      <c r="O21" s="115"/>
      <c r="P21" s="112"/>
      <c r="Q21" s="105"/>
      <c r="R21" s="110"/>
      <c r="S21" s="110"/>
      <c r="T21" s="115"/>
      <c r="U21" s="112"/>
      <c r="V21" s="105"/>
      <c r="W21" s="110"/>
      <c r="X21" s="110"/>
      <c r="Y21" s="115"/>
      <c r="Z21" s="112"/>
    </row>
    <row r="22" spans="1:26" ht="30">
      <c r="A22" s="103" t="s">
        <v>107</v>
      </c>
      <c r="B22" s="100">
        <f>(B17-B21)*0.98</f>
        <v>147</v>
      </c>
      <c r="C22" s="96">
        <f>Finishing!H26</f>
        <v>416.76034858387811</v>
      </c>
      <c r="D22" s="96">
        <f>C22*B22</f>
        <v>61263.77124183008</v>
      </c>
      <c r="E22" s="99">
        <f>Finishing!B30</f>
        <v>2192.3999999999996</v>
      </c>
      <c r="F22" s="250">
        <f>E22*B22</f>
        <v>322282.79999999993</v>
      </c>
      <c r="G22" s="116"/>
      <c r="H22" s="110"/>
      <c r="I22" s="110"/>
      <c r="J22" s="111"/>
      <c r="K22" s="112"/>
      <c r="L22" s="116"/>
      <c r="M22" s="110"/>
      <c r="N22" s="110"/>
      <c r="O22" s="111"/>
      <c r="P22" s="112"/>
      <c r="Q22" s="116"/>
      <c r="R22" s="110"/>
      <c r="S22" s="110"/>
      <c r="T22" s="111"/>
      <c r="U22" s="112"/>
      <c r="V22" s="116"/>
      <c r="W22" s="110"/>
      <c r="X22" s="110"/>
      <c r="Y22" s="111"/>
      <c r="Z22" s="112"/>
    </row>
    <row r="23" spans="1:26">
      <c r="A23" s="103"/>
      <c r="B23" s="122">
        <f>B21+B22</f>
        <v>197</v>
      </c>
      <c r="C23" s="368" t="s">
        <v>120</v>
      </c>
      <c r="D23" s="368"/>
      <c r="E23" s="368"/>
      <c r="F23" s="221"/>
      <c r="G23" s="117"/>
      <c r="H23" s="118"/>
      <c r="I23" s="118"/>
      <c r="J23" s="118"/>
      <c r="K23" s="105"/>
      <c r="L23" s="107"/>
      <c r="M23" s="119"/>
      <c r="N23" s="119"/>
      <c r="O23" s="119"/>
      <c r="P23" s="105"/>
      <c r="Q23" s="117"/>
      <c r="R23" s="118"/>
      <c r="S23" s="118"/>
      <c r="T23" s="118"/>
      <c r="U23" s="105"/>
      <c r="V23" s="107"/>
      <c r="W23" s="118"/>
      <c r="X23" s="118"/>
      <c r="Y23" s="118"/>
      <c r="Z23" s="105"/>
    </row>
    <row r="24" spans="1:26">
      <c r="A24" s="103"/>
      <c r="B24" s="73"/>
      <c r="C24" s="75" t="s">
        <v>104</v>
      </c>
      <c r="D24" s="102">
        <f>D21+D22</f>
        <v>61263.77124183008</v>
      </c>
      <c r="E24" s="76" t="s">
        <v>103</v>
      </c>
      <c r="F24" s="289">
        <f>F21+F22</f>
        <v>468442.79999999993</v>
      </c>
      <c r="G24" s="105"/>
      <c r="H24" s="106"/>
      <c r="I24" s="106"/>
      <c r="J24" s="107"/>
      <c r="K24" s="120"/>
      <c r="L24" s="105"/>
      <c r="M24" s="106"/>
      <c r="N24" s="106"/>
      <c r="O24" s="107"/>
      <c r="P24" s="120"/>
      <c r="Q24" s="105"/>
      <c r="R24" s="106"/>
      <c r="S24" s="106"/>
      <c r="T24" s="107"/>
      <c r="U24" s="120"/>
      <c r="V24" s="105"/>
      <c r="W24" s="106"/>
      <c r="X24" s="106"/>
      <c r="Y24" s="107"/>
      <c r="Z24" s="120"/>
    </row>
    <row r="25" spans="1:26">
      <c r="A25" s="33"/>
      <c r="B25" s="73"/>
      <c r="C25" s="74"/>
      <c r="D25" s="73"/>
      <c r="E25" s="73"/>
      <c r="F25" s="221"/>
      <c r="G25" s="105"/>
      <c r="H25" s="110"/>
      <c r="I25" s="105"/>
      <c r="J25" s="105"/>
      <c r="K25" s="105"/>
      <c r="L25" s="105"/>
      <c r="M25" s="110"/>
      <c r="N25" s="105"/>
      <c r="O25" s="105"/>
      <c r="P25" s="105"/>
      <c r="Q25" s="105"/>
      <c r="R25" s="110"/>
      <c r="S25" s="105"/>
      <c r="T25" s="105"/>
      <c r="U25" s="105"/>
      <c r="V25" s="105"/>
      <c r="W25" s="110"/>
      <c r="X25" s="105"/>
      <c r="Y25" s="105"/>
      <c r="Z25" s="105"/>
    </row>
    <row r="26" spans="1:26" ht="15.75" thickBot="1">
      <c r="A26" s="80"/>
      <c r="B26" s="81"/>
      <c r="C26" s="82"/>
      <c r="D26" s="81"/>
      <c r="E26" s="83" t="s">
        <v>86</v>
      </c>
      <c r="F26" s="291">
        <f>F24+F18-D18-D24</f>
        <v>174768.08186464943</v>
      </c>
      <c r="G26" s="105"/>
      <c r="H26" s="110"/>
      <c r="I26" s="105"/>
      <c r="J26" s="107"/>
      <c r="K26" s="120"/>
      <c r="L26" s="105"/>
      <c r="M26" s="110"/>
      <c r="N26" s="105"/>
      <c r="O26" s="107"/>
      <c r="P26" s="120"/>
      <c r="Q26" s="105"/>
      <c r="R26" s="110"/>
      <c r="S26" s="105"/>
      <c r="T26" s="107"/>
      <c r="U26" s="120"/>
      <c r="V26" s="105"/>
      <c r="W26" s="110"/>
      <c r="X26" s="105"/>
      <c r="Y26" s="107"/>
      <c r="Z26" s="120"/>
    </row>
    <row r="27" spans="1:26">
      <c r="D27" s="383" t="s">
        <v>121</v>
      </c>
      <c r="E27" s="384"/>
      <c r="F27" s="287">
        <f>(F26/D18)/2</f>
        <v>0.17865026032153944</v>
      </c>
      <c r="I27" s="364"/>
      <c r="J27" s="364"/>
      <c r="K27" s="84"/>
    </row>
    <row r="28" spans="1:26" ht="15.75" thickBot="1">
      <c r="D28" s="380" t="s">
        <v>122</v>
      </c>
      <c r="E28" s="381"/>
      <c r="F28" s="285">
        <f>((F26-E31)/D18)/2</f>
        <v>0.16714401032153944</v>
      </c>
      <c r="I28" s="365"/>
      <c r="J28" s="365"/>
      <c r="K28" s="84"/>
    </row>
    <row r="29" spans="1:26" ht="15.75" thickBot="1"/>
    <row r="30" spans="1:26" ht="17.25">
      <c r="B30" s="282" t="s">
        <v>123</v>
      </c>
      <c r="C30" s="283" t="s">
        <v>203</v>
      </c>
      <c r="D30" s="283" t="s">
        <v>125</v>
      </c>
      <c r="E30" s="284" t="s">
        <v>126</v>
      </c>
      <c r="G30" s="85"/>
      <c r="H30" s="9"/>
      <c r="I30" s="9"/>
      <c r="J30" s="9"/>
    </row>
    <row r="31" spans="1:26" ht="15.75" thickBot="1">
      <c r="B31" s="278">
        <v>3.5000000000000003E-2</v>
      </c>
      <c r="C31" s="279">
        <v>240</v>
      </c>
      <c r="D31" s="280">
        <f>((D18*3.5%)*0.6575)/C31</f>
        <v>46.900884217758922</v>
      </c>
      <c r="E31" s="281">
        <f>C31*D31</f>
        <v>11256.21221226214</v>
      </c>
      <c r="G31" s="86"/>
      <c r="H31" s="7"/>
      <c r="I31" s="87"/>
      <c r="J31" s="88"/>
    </row>
  </sheetData>
  <mergeCells count="10">
    <mergeCell ref="D28:E28"/>
    <mergeCell ref="I28:J28"/>
    <mergeCell ref="A1:C1"/>
    <mergeCell ref="A2:F2"/>
    <mergeCell ref="B4:F4"/>
    <mergeCell ref="C23:E23"/>
    <mergeCell ref="D27:E27"/>
    <mergeCell ref="I27:J27"/>
    <mergeCell ref="A20:F20"/>
    <mergeCell ref="A7:F7"/>
  </mergeCells>
  <pageMargins left="0.7" right="0.7" top="0.75" bottom="0.75" header="0.3" footer="0.3"/>
  <pageSetup orientation="portrait" r:id="rId1"/>
  <headerFooter>
    <oddFooter>&amp;C&amp;G
www.pastureproject.org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61C49D6AE22D47AB581B7568B70474" ma:contentTypeVersion="13" ma:contentTypeDescription="Create a new document." ma:contentTypeScope="" ma:versionID="dad5036d4135c18d0a042036ba662405">
  <xsd:schema xmlns:xsd="http://www.w3.org/2001/XMLSchema" xmlns:xs="http://www.w3.org/2001/XMLSchema" xmlns:p="http://schemas.microsoft.com/office/2006/metadata/properties" xmlns:ns3="33bcbb65-70d0-435a-8b3d-c8e51fe508ae" xmlns:ns4="2e2cb368-31ca-477c-9b5b-21156dcb1764" targetNamespace="http://schemas.microsoft.com/office/2006/metadata/properties" ma:root="true" ma:fieldsID="5e033741f00136ca20677170caafa7ef" ns3:_="" ns4:_="">
    <xsd:import namespace="33bcbb65-70d0-435a-8b3d-c8e51fe508ae"/>
    <xsd:import namespace="2e2cb368-31ca-477c-9b5b-21156dcb176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cbb65-70d0-435a-8b3d-c8e51fe508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2cb368-31ca-477c-9b5b-21156dcb176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FC885-99C4-4B22-B395-5D7A74C1C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bcbb65-70d0-435a-8b3d-c8e51fe508ae"/>
    <ds:schemaRef ds:uri="2e2cb368-31ca-477c-9b5b-21156dcb1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6CDB58-A0BA-43AD-95C6-BFD7B94B1649}">
  <ds:schemaRefs>
    <ds:schemaRef ds:uri="http://schemas.microsoft.com/sharepoint/v3/contenttype/forms"/>
  </ds:schemaRefs>
</ds:datastoreItem>
</file>

<file path=customXml/itemProps3.xml><?xml version="1.0" encoding="utf-8"?>
<ds:datastoreItem xmlns:ds="http://schemas.openxmlformats.org/officeDocument/2006/customXml" ds:itemID="{44F464C6-73E3-4800-9AB1-58CFA7234009}">
  <ds:schemaRefs>
    <ds:schemaRef ds:uri="33bcbb65-70d0-435a-8b3d-c8e51fe508ae"/>
    <ds:schemaRef ds:uri="http://schemas.microsoft.com/office/2006/documentManagement/types"/>
    <ds:schemaRef ds:uri="http://www.w3.org/XML/1998/namespace"/>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2e2cb368-31ca-477c-9b5b-21156dcb176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Cow-Calf</vt:lpstr>
      <vt:lpstr>Stocker</vt:lpstr>
      <vt:lpstr>Finishing</vt:lpstr>
      <vt:lpstr>Direct Market</vt:lpstr>
      <vt:lpstr>Cash Flow YR1</vt:lpstr>
      <vt:lpstr>Cash Flow YR2</vt:lpstr>
      <vt:lpstr>Cash Flow YR3</vt:lpstr>
      <vt:lpstr>Cash Flow YR4</vt:lpstr>
      <vt:lpstr>Cash Flow YR5</vt:lpstr>
      <vt:lpstr>Value Calculator</vt:lpstr>
      <vt:lpstr>'Cash Flow YR1'!Print_Area</vt:lpstr>
      <vt:lpstr>'Cash Flow YR2'!Print_Area</vt:lpstr>
      <vt:lpstr>'Cash Flow YR3'!Print_Area</vt:lpstr>
      <vt:lpstr>'Cash Flow YR4'!Print_Area</vt:lpstr>
      <vt:lpstr>'Cow-Calf'!Print_Area</vt:lpstr>
      <vt:lpstr>Stocker!Print_Area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dc:creator>
  <cp:lastModifiedBy>Vergin, Kelsey</cp:lastModifiedBy>
  <cp:lastPrinted>2014-10-30T16:12:46Z</cp:lastPrinted>
  <dcterms:created xsi:type="dcterms:W3CDTF">2013-01-16T15:41:41Z</dcterms:created>
  <dcterms:modified xsi:type="dcterms:W3CDTF">2020-05-08T20:37:29Z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0x0101002A61C49D6AE22D47AB581B7568B70474</vt:lpwstr>
  </property>
</Properties>
</file>