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lisabeth.spratt\Desktop\"/>
    </mc:Choice>
  </mc:AlternateContent>
  <xr:revisionPtr revIDLastSave="0" documentId="13_ncr:1_{8BF32851-56D1-4EB1-A352-3B9A5EF8EC01}" xr6:coauthVersionLast="47" xr6:coauthVersionMax="47" xr10:uidLastSave="{00000000-0000-0000-0000-000000000000}"/>
  <bookViews>
    <workbookView xWindow="28680" yWindow="-120" windowWidth="29040" windowHeight="17640" xr2:uid="{8CF6F5EB-AB52-4CBD-8195-4B885C4332A1}"/>
  </bookViews>
  <sheets>
    <sheet name="Pasture" sheetId="13" r:id="rId1"/>
    <sheet name="Pasture-Grass" sheetId="9" r:id="rId2"/>
    <sheet name="Pasture-Grass-Leg" sheetId="10" r:id="rId3"/>
    <sheet name="Pasture-Legume" sheetId="15" r:id="rId4"/>
  </sheets>
  <definedNames>
    <definedName name="_xlnm.Print_Area" localSheetId="1">'Pasture-Grass'!$A$1:$G$55</definedName>
    <definedName name="_xlnm.Print_Area" localSheetId="2">'Pasture-Grass-Leg'!$A$1:$H$53</definedName>
    <definedName name="_xlnm.Print_Area" localSheetId="3">'Pasture-Legume'!$A$1:$H$53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3" i="13"/>
  <c r="BC23" i="13" s="1"/>
  <c r="BD23" i="13" s="1"/>
  <c r="I24" i="13"/>
  <c r="I21" i="13"/>
  <c r="BC21" i="13" s="1"/>
  <c r="BD21" i="13" s="1"/>
  <c r="AQ21" i="13"/>
  <c r="AR21" i="13" s="1"/>
  <c r="AQ22" i="13"/>
  <c r="AR22" i="13" s="1"/>
  <c r="AT22" i="13" s="1"/>
  <c r="AU22" i="13" s="1"/>
  <c r="BC22" i="13"/>
  <c r="BD22" i="13" s="1"/>
  <c r="AQ23" i="13"/>
  <c r="AR23" i="13" s="1"/>
  <c r="AT23" i="13" s="1"/>
  <c r="AQ24" i="13"/>
  <c r="AR24" i="13" s="1"/>
  <c r="AT24" i="13" s="1"/>
  <c r="AU24" i="13" s="1"/>
  <c r="BC24" i="13"/>
  <c r="BD24" i="13" s="1"/>
  <c r="F37" i="13"/>
  <c r="F50" i="13"/>
  <c r="C9" i="13"/>
  <c r="D13" i="13" s="1"/>
  <c r="E13" i="13" s="1"/>
  <c r="G13" i="13" s="1"/>
  <c r="F31" i="13"/>
  <c r="F33" i="13"/>
  <c r="E25" i="13"/>
  <c r="F32" i="13"/>
  <c r="F13" i="15"/>
  <c r="F14" i="15"/>
  <c r="E25" i="15"/>
  <c r="F25" i="15" s="1"/>
  <c r="E28" i="15"/>
  <c r="F28" i="15"/>
  <c r="A52" i="15"/>
  <c r="F15" i="15"/>
  <c r="G15" i="15" s="1"/>
  <c r="F16" i="15"/>
  <c r="G16" i="15" s="1"/>
  <c r="F17" i="15"/>
  <c r="E22" i="15"/>
  <c r="F22" i="15"/>
  <c r="G22" i="15" s="1"/>
  <c r="D34" i="15"/>
  <c r="F34" i="15" s="1"/>
  <c r="D37" i="15"/>
  <c r="F37" i="15"/>
  <c r="F43" i="15"/>
  <c r="E18" i="15"/>
  <c r="E45" i="15" s="1"/>
  <c r="E46" i="15" s="1"/>
  <c r="E31" i="15"/>
  <c r="D18" i="15"/>
  <c r="D45" i="15" s="1"/>
  <c r="D46" i="15" s="1"/>
  <c r="D40" i="15"/>
  <c r="G13" i="15"/>
  <c r="G14" i="15"/>
  <c r="G17" i="15"/>
  <c r="G37" i="15"/>
  <c r="G43" i="15"/>
  <c r="G28" i="15"/>
  <c r="E19" i="15"/>
  <c r="D19" i="15"/>
  <c r="F49" i="13"/>
  <c r="F41" i="13"/>
  <c r="F40" i="13"/>
  <c r="F39" i="13"/>
  <c r="F38" i="13"/>
  <c r="AI21" i="13" s="1"/>
  <c r="E23" i="13"/>
  <c r="E22" i="13"/>
  <c r="E24" i="13"/>
  <c r="E21" i="13"/>
  <c r="A52" i="10"/>
  <c r="F13" i="10"/>
  <c r="F14" i="10"/>
  <c r="G14" i="10" s="1"/>
  <c r="F15" i="10"/>
  <c r="F16" i="10"/>
  <c r="F17" i="10"/>
  <c r="F18" i="10"/>
  <c r="E22" i="10"/>
  <c r="F22" i="10"/>
  <c r="E25" i="10"/>
  <c r="E31" i="10" s="1"/>
  <c r="F25" i="10"/>
  <c r="G25" i="10" s="1"/>
  <c r="E28" i="10"/>
  <c r="F28" i="10"/>
  <c r="D34" i="10"/>
  <c r="F34" i="10" s="1"/>
  <c r="D37" i="10"/>
  <c r="F37" i="10"/>
  <c r="F43" i="10"/>
  <c r="E18" i="10"/>
  <c r="E45" i="10" s="1"/>
  <c r="E46" i="10" s="1"/>
  <c r="D18" i="10"/>
  <c r="D19" i="10" s="1"/>
  <c r="G13" i="10"/>
  <c r="G15" i="10"/>
  <c r="G16" i="10"/>
  <c r="G17" i="10"/>
  <c r="G37" i="10"/>
  <c r="G43" i="10"/>
  <c r="G28" i="10"/>
  <c r="G22" i="10"/>
  <c r="E19" i="10"/>
  <c r="A54" i="9"/>
  <c r="F13" i="9"/>
  <c r="F19" i="9" s="1"/>
  <c r="F14" i="9"/>
  <c r="G14" i="9" s="1"/>
  <c r="F15" i="9"/>
  <c r="F16" i="9"/>
  <c r="G16" i="9" s="1"/>
  <c r="F17" i="9"/>
  <c r="G17" i="9" s="1"/>
  <c r="F18" i="9"/>
  <c r="G18" i="9" s="1"/>
  <c r="E23" i="9"/>
  <c r="E33" i="9" s="1"/>
  <c r="F23" i="9"/>
  <c r="E26" i="9"/>
  <c r="F26" i="9" s="1"/>
  <c r="G26" i="9" s="1"/>
  <c r="E29" i="9"/>
  <c r="F29" i="9"/>
  <c r="F32" i="9"/>
  <c r="F36" i="9"/>
  <c r="F39" i="9"/>
  <c r="F42" i="9"/>
  <c r="F45" i="9"/>
  <c r="E19" i="9"/>
  <c r="E47" i="9" s="1"/>
  <c r="E48" i="9" s="1"/>
  <c r="D19" i="9"/>
  <c r="D20" i="9" s="1"/>
  <c r="D36" i="9"/>
  <c r="D39" i="9"/>
  <c r="D42" i="9"/>
  <c r="D47" i="9"/>
  <c r="D48" i="9" s="1"/>
  <c r="G15" i="9"/>
  <c r="G29" i="9"/>
  <c r="G32" i="9"/>
  <c r="G36" i="9"/>
  <c r="G42" i="9" s="1"/>
  <c r="G39" i="9"/>
  <c r="G45" i="9"/>
  <c r="E20" i="9"/>
  <c r="AJ21" i="13" l="1"/>
  <c r="AL21" i="13" s="1"/>
  <c r="AM21" i="13" s="1"/>
  <c r="D14" i="13"/>
  <c r="AI22" i="13"/>
  <c r="AJ22" i="13" s="1"/>
  <c r="AL22" i="13" s="1"/>
  <c r="AM22" i="13" s="1"/>
  <c r="D15" i="13"/>
  <c r="O21" i="13"/>
  <c r="Q24" i="13"/>
  <c r="T23" i="13"/>
  <c r="AB22" i="13"/>
  <c r="AC22" i="13" s="1"/>
  <c r="AE22" i="13" s="1"/>
  <c r="AG22" i="13" s="1"/>
  <c r="AB21" i="13"/>
  <c r="AC21" i="13" s="1"/>
  <c r="AE21" i="13" s="1"/>
  <c r="AG21" i="13" s="1"/>
  <c r="T24" i="13"/>
  <c r="AI24" i="13"/>
  <c r="AJ24" i="13" s="1"/>
  <c r="AL24" i="13" s="1"/>
  <c r="AM24" i="13" s="1"/>
  <c r="AI23" i="13"/>
  <c r="AJ23" i="13" s="1"/>
  <c r="AL23" i="13" s="1"/>
  <c r="AM23" i="13" s="1"/>
  <c r="Q23" i="13"/>
  <c r="T22" i="13"/>
  <c r="T21" i="13"/>
  <c r="D16" i="13"/>
  <c r="AB24" i="13"/>
  <c r="AC24" i="13" s="1"/>
  <c r="AE24" i="13" s="1"/>
  <c r="AF24" i="13" s="1"/>
  <c r="AB23" i="13"/>
  <c r="AC23" i="13" s="1"/>
  <c r="AE23" i="13" s="1"/>
  <c r="AF23" i="13" s="1"/>
  <c r="Q22" i="13"/>
  <c r="Q21" i="13"/>
  <c r="AU23" i="13"/>
  <c r="AV23" i="13"/>
  <c r="AV24" i="13"/>
  <c r="AV22" i="13"/>
  <c r="AT21" i="13"/>
  <c r="G34" i="10"/>
  <c r="G40" i="10" s="1"/>
  <c r="F40" i="10"/>
  <c r="F31" i="15"/>
  <c r="G31" i="15" s="1"/>
  <c r="G25" i="15"/>
  <c r="F20" i="9"/>
  <c r="F33" i="9"/>
  <c r="F47" i="9" s="1"/>
  <c r="G18" i="15"/>
  <c r="G45" i="15" s="1"/>
  <c r="G18" i="10"/>
  <c r="G45" i="10" s="1"/>
  <c r="G34" i="15"/>
  <c r="G40" i="15" s="1"/>
  <c r="F40" i="15"/>
  <c r="F19" i="10"/>
  <c r="F31" i="10"/>
  <c r="G31" i="10" s="1"/>
  <c r="F13" i="13"/>
  <c r="H13" i="13"/>
  <c r="E15" i="13"/>
  <c r="F15" i="13" s="1"/>
  <c r="E14" i="13"/>
  <c r="F18" i="15"/>
  <c r="G13" i="9"/>
  <c r="G19" i="9" s="1"/>
  <c r="D45" i="10"/>
  <c r="D46" i="10" s="1"/>
  <c r="G23" i="9"/>
  <c r="G33" i="9" s="1"/>
  <c r="D40" i="10"/>
  <c r="E16" i="13"/>
  <c r="C16" i="13" l="1"/>
  <c r="AG24" i="13"/>
  <c r="U21" i="13"/>
  <c r="W21" i="13" s="1"/>
  <c r="X21" i="13" s="1"/>
  <c r="F16" i="13"/>
  <c r="AF21" i="13"/>
  <c r="AG23" i="13"/>
  <c r="AF22" i="13"/>
  <c r="AU21" i="13"/>
  <c r="AV21" i="13"/>
  <c r="F48" i="9"/>
  <c r="G47" i="9"/>
  <c r="F45" i="15"/>
  <c r="F19" i="15"/>
  <c r="G16" i="13"/>
  <c r="F45" i="10"/>
  <c r="G15" i="13"/>
  <c r="C15" i="13"/>
  <c r="G14" i="13"/>
  <c r="C14" i="13"/>
  <c r="F14" i="13"/>
  <c r="AW21" i="13" l="1"/>
  <c r="AX21" i="13" s="1"/>
  <c r="O24" i="13"/>
  <c r="U24" i="13" s="1"/>
  <c r="O22" i="13"/>
  <c r="U22" i="13" s="1"/>
  <c r="AZ21" i="13"/>
  <c r="BE21" i="13" s="1"/>
  <c r="O23" i="13"/>
  <c r="U23" i="13" s="1"/>
  <c r="AY21" i="13"/>
  <c r="BA21" i="13" s="1"/>
  <c r="BF21" i="13" s="1"/>
  <c r="F46" i="10"/>
  <c r="H16" i="13"/>
  <c r="F46" i="15"/>
  <c r="H14" i="13"/>
  <c r="H15" i="13"/>
  <c r="BB21" i="13" l="1"/>
  <c r="W24" i="13"/>
  <c r="AW24" i="13"/>
  <c r="AX24" i="13" s="1"/>
  <c r="W23" i="13"/>
  <c r="AW23" i="13"/>
  <c r="AX23" i="13" s="1"/>
  <c r="W22" i="13"/>
  <c r="AW22" i="13"/>
  <c r="AX22" i="13" s="1"/>
  <c r="BG21" i="13"/>
  <c r="X24" i="13" l="1"/>
  <c r="AZ24" i="13" s="1"/>
  <c r="BE24" i="13" s="1"/>
  <c r="AY24" i="13"/>
  <c r="BA24" i="13" s="1"/>
  <c r="X23" i="13"/>
  <c r="AZ23" i="13" s="1"/>
  <c r="BE23" i="13" s="1"/>
  <c r="AY23" i="13"/>
  <c r="BA23" i="13" s="1"/>
  <c r="X22" i="13"/>
  <c r="AZ22" i="13" s="1"/>
  <c r="BE22" i="13" s="1"/>
  <c r="AY22" i="13"/>
  <c r="BA22" i="13" s="1"/>
  <c r="BB22" i="13" l="1"/>
  <c r="BF22" i="13"/>
  <c r="BB23" i="13"/>
  <c r="BF23" i="13"/>
  <c r="BF24" i="13"/>
  <c r="BB24" i="13"/>
  <c r="BG23" i="13" l="1"/>
  <c r="BG24" i="13"/>
  <c r="BG2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Winsten, Jon</author>
  </authors>
  <commentList>
    <comment ref="B9" authorId="0" shapeId="0" xr:uid="{B973183D-AEE5-4669-8512-4EA5FA3FCD7A}">
      <text>
        <r>
          <rPr>
            <b/>
            <sz val="9"/>
            <color indexed="81"/>
            <rFont val="Tahoma"/>
            <family val="2"/>
          </rPr>
          <t>Winsten, Jon:</t>
        </r>
        <r>
          <rPr>
            <sz val="9"/>
            <color indexed="81"/>
            <rFont val="Tahoma"/>
            <family val="2"/>
          </rPr>
          <t xml:space="preserve">
# of acres is now field specific starting in Col 21. </t>
        </r>
      </text>
    </comment>
  </commentList>
</comments>
</file>

<file path=xl/sharedStrings.xml><?xml version="1.0" encoding="utf-8"?>
<sst xmlns="http://schemas.openxmlformats.org/spreadsheetml/2006/main" count="457" uniqueCount="201">
  <si>
    <t>Other</t>
  </si>
  <si>
    <t>Field Name</t>
  </si>
  <si>
    <t>Acres</t>
  </si>
  <si>
    <t>Labor</t>
  </si>
  <si>
    <t>Land</t>
  </si>
  <si>
    <t>Total</t>
  </si>
  <si>
    <t>Fixed</t>
  </si>
  <si>
    <t>Maintaining Grass Pastures -- Improved Grass</t>
  </si>
  <si>
    <t>Ag Decision Maker -- Iowa State University Extension and Outreach</t>
  </si>
  <si>
    <r>
      <rPr>
        <sz val="10"/>
        <rFont val="Arial"/>
        <family val="2"/>
      </rPr>
      <t xml:space="preserve">The </t>
    </r>
    <r>
      <rPr>
        <u/>
        <sz val="10"/>
        <color indexed="45"/>
        <rFont val="Arial"/>
        <family val="2"/>
      </rPr>
      <t>Estimated Costs of Crop Production publication</t>
    </r>
    <r>
      <rPr>
        <sz val="10"/>
        <rFont val="Arial"/>
        <family val="2"/>
      </rPr>
      <t xml:space="preserve"> has more information on the annual cost per acre </t>
    </r>
  </si>
  <si>
    <t xml:space="preserve">for maintain grass pasture. Improved grass pastures assume a dominance of cool season grasses </t>
  </si>
  <si>
    <t>such as smooth brome grass, orchardgrass, tall fescue or reed canary grass.</t>
  </si>
  <si>
    <t>Enter your input values in shaded cells.</t>
  </si>
  <si>
    <t>Example</t>
  </si>
  <si>
    <t xml:space="preserve">Acres </t>
  </si>
  <si>
    <t>Cost per</t>
  </si>
  <si>
    <t>Acre</t>
  </si>
  <si>
    <t>Total Cost</t>
  </si>
  <si>
    <t>Machinery costs</t>
  </si>
  <si>
    <t>Variable</t>
  </si>
  <si>
    <t>All Acres</t>
  </si>
  <si>
    <t>Machinery costs note: Fixed machiney costs include depreciation, return on investment in machinery (interest), insurance, and housing. Variable machinery costs include fuel, oil, and repairs.</t>
  </si>
  <si>
    <t>Spreading fertilizer</t>
  </si>
  <si>
    <t>Spraying herbicide</t>
  </si>
  <si>
    <t>Clipping weeds</t>
  </si>
  <si>
    <t xml:space="preserve">    Total per acre</t>
  </si>
  <si>
    <t xml:space="preserve">    Total all acres</t>
  </si>
  <si>
    <t xml:space="preserve">----  </t>
  </si>
  <si>
    <t>Fertilizer and herbicide</t>
  </si>
  <si>
    <t xml:space="preserve"> </t>
  </si>
  <si>
    <t>Fertilizer and herbicide note: These are average rates and may vary with soil test and the level of management of a particular field. Different herbicide alternatives could vary this cost.</t>
  </si>
  <si>
    <t xml:space="preserve">  Nitrogen</t>
  </si>
  <si>
    <t xml:space="preserve">    price per pound</t>
  </si>
  <si>
    <t xml:space="preserve">    pounds per acre</t>
  </si>
  <si>
    <t xml:space="preserve">  </t>
  </si>
  <si>
    <t xml:space="preserve">  Phosphate</t>
  </si>
  <si>
    <t xml:space="preserve">  Potash</t>
  </si>
  <si>
    <t xml:space="preserve">  Herbicide</t>
  </si>
  <si>
    <t xml:space="preserve">      Total</t>
  </si>
  <si>
    <t xml:space="preserve">  Growing practices</t>
  </si>
  <si>
    <t xml:space="preserve">    Hours</t>
  </si>
  <si>
    <t xml:space="preserve">    Rate per hour</t>
  </si>
  <si>
    <t xml:space="preserve">  Fence maintenance</t>
  </si>
  <si>
    <t xml:space="preserve">  Cash rent equivalent</t>
  </si>
  <si>
    <t xml:space="preserve">             </t>
  </si>
  <si>
    <t>Total annual cost per acre</t>
  </si>
  <si>
    <t>Total annual cost all acres</t>
  </si>
  <si>
    <t>Version 1.4_12020</t>
  </si>
  <si>
    <t>Contact: Ann Johanns</t>
  </si>
  <si>
    <t>Date Printed:</t>
  </si>
  <si>
    <t xml:space="preserve">Iowa State University Extension and Outreach does not discriminate on the basis of age, disability, ethnicity, gender identity, genetic information, marital status, national origin, pregnancy, race, color, religion, sex, sexual orientation, socioeconomic status, or status as a U.S. veteran, or other protected classes. Direct inquiries to the Diversity Advisor, 515-294-1482, extdiversity@iastate.edu
</t>
  </si>
  <si>
    <t>Maintaining Grass Pastures -- Improved Grass-Legume</t>
  </si>
  <si>
    <r>
      <rPr>
        <sz val="10"/>
        <rFont val="Arial"/>
        <family val="2"/>
      </rPr>
      <t xml:space="preserve">The </t>
    </r>
    <r>
      <rPr>
        <u/>
        <sz val="10"/>
        <color indexed="45"/>
        <rFont val="Arial"/>
        <family val="2"/>
      </rPr>
      <t>Estimated Costs of Crop Production publication</t>
    </r>
    <r>
      <rPr>
        <sz val="10"/>
        <rFont val="Arial"/>
        <family val="2"/>
      </rPr>
      <t xml:space="preserve"> has more information </t>
    </r>
  </si>
  <si>
    <t>on the annual cost per acre for maintaining an improved grass-legume pasture.</t>
  </si>
  <si>
    <t>Improved grass-legume pastures assume one-third of the forage is made up of red clover, birdsfoot trefoil, or alfalfa.</t>
  </si>
  <si>
    <t>Machinery costs note: Fixed machinery costs include depreciation, return on investment in machinery (interest), insurance, and housing. Variable machinery costs include fuel, oil, and repairs.</t>
  </si>
  <si>
    <t xml:space="preserve">      Total per acre</t>
  </si>
  <si>
    <t>Grazing Intensity</t>
  </si>
  <si>
    <t>No</t>
  </si>
  <si>
    <t>Yes</t>
  </si>
  <si>
    <t>Established?</t>
  </si>
  <si>
    <t>Sward type</t>
  </si>
  <si>
    <t>Grass</t>
  </si>
  <si>
    <t>G-L Mix</t>
  </si>
  <si>
    <t>Sward Type</t>
  </si>
  <si>
    <t>High</t>
  </si>
  <si>
    <t>Medium high</t>
  </si>
  <si>
    <t>Medium low</t>
  </si>
  <si>
    <t>Low</t>
  </si>
  <si>
    <t>Paddock shape</t>
  </si>
  <si>
    <t>Square</t>
  </si>
  <si>
    <t>Paddock Shape</t>
  </si>
  <si>
    <t>Odd</t>
  </si>
  <si>
    <t>L-W= &lt;2-1</t>
  </si>
  <si>
    <t>L-W= &lt;4-1</t>
  </si>
  <si>
    <t>Improved Lanes Req'd?</t>
  </si>
  <si>
    <t>Water System Req'd?</t>
  </si>
  <si>
    <t>Quality</t>
  </si>
  <si>
    <t>Excellent</t>
  </si>
  <si>
    <t>Very good</t>
  </si>
  <si>
    <t>Good</t>
  </si>
  <si>
    <t>Fair</t>
  </si>
  <si>
    <t>Poor</t>
  </si>
  <si>
    <t>Fencing</t>
  </si>
  <si>
    <t>Two strand wire</t>
  </si>
  <si>
    <t>75% Cost</t>
  </si>
  <si>
    <t>90% Cost</t>
  </si>
  <si>
    <t>100% Cost</t>
  </si>
  <si>
    <t>One strand wire</t>
  </si>
  <si>
    <t>Polywire</t>
  </si>
  <si>
    <t>Per Foot</t>
  </si>
  <si>
    <t>Forage and Biomass Planting</t>
  </si>
  <si>
    <t>NRCS Table#</t>
  </si>
  <si>
    <t>Warm-season, one species</t>
  </si>
  <si>
    <t>Warm-season, two species</t>
  </si>
  <si>
    <t>Cool season</t>
  </si>
  <si>
    <t>Frost seeding</t>
  </si>
  <si>
    <t>Interseeding</t>
  </si>
  <si>
    <t>From EQIP FY20 Cookbook for Wisconsin</t>
  </si>
  <si>
    <t>Livestock Pipeline</t>
  </si>
  <si>
    <t>Yield (T DM/ac)</t>
  </si>
  <si>
    <t>$/ton (90% DM)</t>
  </si>
  <si>
    <t>Very Good</t>
  </si>
  <si>
    <t>$/ton DM</t>
  </si>
  <si>
    <t>Quality Category</t>
  </si>
  <si>
    <t>Perimeter Distance (feet)</t>
  </si>
  <si>
    <t>Perimeter material (choose one)</t>
  </si>
  <si>
    <t>Pasture Shape vs Perimeter Ratio</t>
  </si>
  <si>
    <t>Sq ft/acre</t>
  </si>
  <si>
    <t># of acres</t>
  </si>
  <si>
    <t>Sq ft</t>
  </si>
  <si>
    <t>Internal Fence Distance (feet)</t>
  </si>
  <si>
    <t>Internal Fence Material</t>
  </si>
  <si>
    <t>% more fence than square</t>
  </si>
  <si>
    <t>Total Fence Cost ($)</t>
  </si>
  <si>
    <t>Useful Life of Fencing (years)</t>
  </si>
  <si>
    <t>Feet of Pipe Req'd</t>
  </si>
  <si>
    <t>Perimeter Cost ($/ft)</t>
  </si>
  <si>
    <t>Internal Fence Cost ($/ft)</t>
  </si>
  <si>
    <t>Water Pipe Cost ($/ft)</t>
  </si>
  <si>
    <t>Type of Pipe</t>
  </si>
  <si>
    <t>Surface PVC pipe</t>
  </si>
  <si>
    <t>Shallow PVC pipe</t>
  </si>
  <si>
    <t>Useful Life of Pipe (years)</t>
  </si>
  <si>
    <t>Total Water System Cost ($)</t>
  </si>
  <si>
    <t>Annual Water Cost ($/acre)</t>
  </si>
  <si>
    <t>Pasture Planting (choose species)</t>
  </si>
  <si>
    <t>Cost for Seed and Planting ($/acre)</t>
  </si>
  <si>
    <t>Cost for Seed and Planting ($)</t>
  </si>
  <si>
    <t>Useful Life of Pasture (years)</t>
  </si>
  <si>
    <t>Annual Seed/Planting Cost ($/year)</t>
  </si>
  <si>
    <t>Annual Water System Cost ($/year)</t>
  </si>
  <si>
    <t>Annual Fence Cost ($/year)</t>
  </si>
  <si>
    <t>Annual Fence Cost/Acre ($/acre/yr)</t>
  </si>
  <si>
    <t>Value of Pasture</t>
  </si>
  <si>
    <t>Shape Category</t>
  </si>
  <si>
    <t>L:W Factor</t>
  </si>
  <si>
    <t>L:W Ratio</t>
  </si>
  <si>
    <t>Pasture Establishment Costs</t>
  </si>
  <si>
    <t>Total Establishment Cost ($)</t>
  </si>
  <si>
    <t>Total Establishment Cost ($/acre)</t>
  </si>
  <si>
    <t>Total Establishment Cost ($/yr)</t>
  </si>
  <si>
    <t>Prime</t>
  </si>
  <si>
    <t>Grade 1</t>
  </si>
  <si>
    <t>RFV or RFQ</t>
  </si>
  <si>
    <t>&gt;151</t>
  </si>
  <si>
    <t>103-124</t>
  </si>
  <si>
    <t>125-150</t>
  </si>
  <si>
    <t>87-102</t>
  </si>
  <si>
    <t>&lt;87</t>
  </si>
  <si>
    <t>WI Hay Report Category</t>
  </si>
  <si>
    <t>Grade 2</t>
  </si>
  <si>
    <t>Grade 3</t>
  </si>
  <si>
    <t>Annual Water Cost/Acre ($/acre/yr)</t>
  </si>
  <si>
    <t>Annual Seed/Planting Cost/Acre ($/acre/yr)</t>
  </si>
  <si>
    <t>Total Establishment Cost ($/ac/yr)</t>
  </si>
  <si>
    <t>L:W= &gt;4:1</t>
  </si>
  <si>
    <t>L:W= &lt;4:1</t>
  </si>
  <si>
    <t>L:W= &lt;2:1</t>
  </si>
  <si>
    <t>Length (ft)</t>
  </si>
  <si>
    <t>Width (ft)</t>
  </si>
  <si>
    <t>Area (acres)</t>
  </si>
  <si>
    <t>Perimeter (ft)</t>
  </si>
  <si>
    <t>Prod'n Cost ($/yr)</t>
  </si>
  <si>
    <t>Yield (T DM/ac/yr)</t>
  </si>
  <si>
    <t>Established? (Y/N)</t>
  </si>
  <si>
    <t>Type of Lane</t>
  </si>
  <si>
    <t>Type of Lanes</t>
  </si>
  <si>
    <t>Raised Earth</t>
  </si>
  <si>
    <t>Crushed Stone over Geotextile</t>
  </si>
  <si>
    <t>Crushed Stone</t>
  </si>
  <si>
    <t>Crushed Stone over Base Material</t>
  </si>
  <si>
    <t>Crushed Stone over Both</t>
  </si>
  <si>
    <t>Feet of Lane Req'd</t>
  </si>
  <si>
    <t>Lane Cost ($/ft)</t>
  </si>
  <si>
    <t>Total Lane Cost ($)</t>
  </si>
  <si>
    <t>Useful Life of Lane (years)</t>
  </si>
  <si>
    <t>Annual Lane Cost ($/year)</t>
  </si>
  <si>
    <t>Annual Lane Cost/Acre ($/acre/yr)</t>
  </si>
  <si>
    <t>Annual Lane Cost ($/acre)</t>
  </si>
  <si>
    <t>Mostly Legume</t>
  </si>
  <si>
    <t>Depreciation Cost ($/yr)</t>
  </si>
  <si>
    <t>Depreciation Cost ($/acre/yr)</t>
  </si>
  <si>
    <t>Total Cost ($/yr)</t>
  </si>
  <si>
    <t>Field Info</t>
  </si>
  <si>
    <t>Total Cost per T DM</t>
  </si>
  <si>
    <t>Costs, Value, and Net Return</t>
  </si>
  <si>
    <t>Prod'n cost $/yr/acre</t>
  </si>
  <si>
    <t>Annualized est costs + annual prod'n cost</t>
  </si>
  <si>
    <t>Field A</t>
  </si>
  <si>
    <t>Field B</t>
  </si>
  <si>
    <t>Field C</t>
  </si>
  <si>
    <t>Field D</t>
  </si>
  <si>
    <t>Pasture variables</t>
  </si>
  <si>
    <t>Instructions:</t>
  </si>
  <si>
    <t>1. Inputs are in green. Outputs are in orange and yellow.</t>
  </si>
  <si>
    <t>2. Fill out acreage in cell B13, then fill out green cells in Field Info table.</t>
  </si>
  <si>
    <t>not applicable</t>
  </si>
  <si>
    <t>Source: https://www.nrcs.usda.gov/wps/portal/nrcs/detail/national/programs/financial/?cid=nrcseprd1328422</t>
  </si>
  <si>
    <t>3. For production costs (column BC), see Pasture-Grass, Pasture-Grass-Leg, and Pasture-Legume tabs to dial in annual costs.</t>
  </si>
  <si>
    <t>4.  Examine outputs (establishment costs and production costs) in columns BG through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</si>
</sst>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7" formatCode="&quot;$&quot;#,##0.00"/>
    <numFmt numFmtId="168" formatCode="&quot;$&quot;#,##0"/>
  </numFmts>
  <fonts count="16" x14ac:knownFonts="1">
    <font>
      <sz val="11"/>
      <color theme="1"/>
      <name val="Calibri"/>
      <family val="2"/>
      <scheme val="minor"/>
    </font>
    <font>
      <b/>
      <sz val="11"/>
      <color theme="1"/>
      <name val="Calibri"/>
      <family val="2"/>
      <scheme val="minor"/>
    </font>
    <font>
      <b/>
      <sz val="10"/>
      <name val="Arial"/>
      <family val="2"/>
    </font>
    <font>
      <sz val="10"/>
      <name val="Arial"/>
      <family val="2"/>
    </font>
    <font>
      <i/>
      <sz val="10"/>
      <name val="Arial"/>
      <family val="2"/>
    </font>
    <font>
      <u/>
      <sz val="10"/>
      <color indexed="12"/>
      <name val="Arial"/>
      <family val="2"/>
    </font>
    <font>
      <b/>
      <sz val="14"/>
      <color indexed="9"/>
      <name val="Arial"/>
      <family val="2"/>
    </font>
    <font>
      <b/>
      <sz val="11"/>
      <color indexed="63"/>
      <name val="Arial"/>
      <family val="2"/>
    </font>
    <font>
      <u/>
      <sz val="10"/>
      <color indexed="45"/>
      <name val="Arial"/>
      <family val="2"/>
    </font>
    <font>
      <sz val="9"/>
      <name val="Arial"/>
      <family val="2"/>
    </font>
    <font>
      <u/>
      <sz val="10"/>
      <name val="Arial"/>
      <family val="2"/>
    </font>
    <font>
      <b/>
      <u/>
      <sz val="10"/>
      <name val="Arial"/>
      <family val="2"/>
    </font>
    <font>
      <sz val="6"/>
      <color indexed="63"/>
      <name val="Arial"/>
      <family val="2"/>
    </font>
    <font>
      <sz val="9"/>
      <color indexed="81"/>
      <name val="Tahoma"/>
      <family val="2"/>
    </font>
    <font>
      <sz val="8"/>
      <name val="Calibri"/>
      <family val="2"/>
      <scheme val="minor"/>
    </font>
    <font>
      <b/>
      <sz val="9"/>
      <color indexed="81"/>
      <name val="Tahoma"/>
      <family val="2"/>
    </font>
  </fonts>
  <fills count="8">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C00000"/>
        <bgColor indexed="64"/>
      </patternFill>
    </fill>
    <fill>
      <patternFill patternType="solid">
        <fgColor indexed="9"/>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2" tint="-9.9948118533890809E-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54">
    <xf numFmtId="0" fontId="0" fillId="0" borderId="0" xfId="0"/>
    <xf numFmtId="0" fontId="5" fillId="0" borderId="0" xfId="1" applyAlignment="1" applyProtection="1"/>
    <xf numFmtId="0" fontId="0" fillId="0" borderId="0" xfId="0" applyAlignment="1">
      <alignment wrapText="1"/>
    </xf>
    <xf numFmtId="167" fontId="0" fillId="0" borderId="0" xfId="0" applyNumberFormat="1"/>
    <xf numFmtId="0" fontId="0" fillId="0" borderId="1" xfId="0" applyBorder="1"/>
    <xf numFmtId="0" fontId="0" fillId="0" borderId="13" xfId="0" applyBorder="1"/>
    <xf numFmtId="0" fontId="0" fillId="0" borderId="14" xfId="0" applyBorder="1"/>
    <xf numFmtId="0" fontId="0" fillId="0" borderId="15" xfId="0" applyBorder="1"/>
    <xf numFmtId="0" fontId="0" fillId="0" borderId="6" xfId="0" applyBorder="1"/>
    <xf numFmtId="0" fontId="0" fillId="0" borderId="19" xfId="0" applyBorder="1"/>
    <xf numFmtId="0" fontId="0" fillId="0" borderId="0" xfId="0" applyAlignment="1"/>
    <xf numFmtId="3" fontId="0" fillId="0" borderId="0" xfId="0" applyNumberFormat="1"/>
    <xf numFmtId="0" fontId="6" fillId="5" borderId="23" xfId="2" applyFont="1" applyFill="1" applyBorder="1" applyAlignment="1">
      <alignment horizontal="left" indent="1"/>
    </xf>
    <xf numFmtId="0" fontId="6" fillId="5" borderId="23" xfId="2" applyFont="1" applyFill="1" applyBorder="1"/>
    <xf numFmtId="0" fontId="7" fillId="0" borderId="0" xfId="2" applyFont="1" applyAlignment="1">
      <alignment horizontal="left" indent="1"/>
    </xf>
    <xf numFmtId="0" fontId="2" fillId="0" borderId="0" xfId="2" applyFont="1"/>
    <xf numFmtId="0" fontId="3" fillId="0" borderId="0" xfId="2"/>
    <xf numFmtId="0" fontId="8" fillId="0" borderId="0" xfId="1" applyFont="1" applyAlignment="1" applyProtection="1">
      <alignment horizontal="left" indent="1"/>
    </xf>
    <xf numFmtId="0" fontId="5" fillId="0" borderId="0" xfId="1" applyAlignment="1" applyProtection="1">
      <alignment wrapText="1"/>
    </xf>
    <xf numFmtId="0" fontId="3" fillId="0" borderId="0" xfId="1" applyFont="1" applyAlignment="1" applyProtection="1">
      <alignment horizontal="left" indent="1"/>
    </xf>
    <xf numFmtId="0" fontId="5" fillId="0" borderId="0" xfId="1" applyAlignment="1" applyProtection="1">
      <alignment horizontal="left" wrapText="1"/>
    </xf>
    <xf numFmtId="0" fontId="9" fillId="2" borderId="1" xfId="2" applyFont="1" applyFill="1" applyBorder="1" applyAlignment="1">
      <alignment horizontal="left" indent="1"/>
    </xf>
    <xf numFmtId="0" fontId="3" fillId="2" borderId="3" xfId="2" applyFill="1" applyBorder="1"/>
    <xf numFmtId="0" fontId="3" fillId="2" borderId="5" xfId="2" applyFill="1" applyBorder="1"/>
    <xf numFmtId="0" fontId="3" fillId="0" borderId="0" xfId="2" applyAlignment="1">
      <alignment horizontal="left" indent="1"/>
    </xf>
    <xf numFmtId="0" fontId="2" fillId="0" borderId="0" xfId="2" applyFont="1" applyAlignment="1">
      <alignment horizontal="left" indent="1"/>
    </xf>
    <xf numFmtId="0" fontId="2" fillId="0" borderId="0" xfId="2" applyFont="1" applyAlignment="1">
      <alignment horizontal="left"/>
    </xf>
    <xf numFmtId="0" fontId="2" fillId="2" borderId="4" xfId="2" applyFont="1" applyFill="1" applyBorder="1" applyAlignment="1" applyProtection="1">
      <alignment horizontal="left" indent="1"/>
      <protection locked="0"/>
    </xf>
    <xf numFmtId="0" fontId="2" fillId="2" borderId="3" xfId="2" applyFont="1" applyFill="1" applyBorder="1" applyProtection="1">
      <protection locked="0"/>
    </xf>
    <xf numFmtId="0" fontId="2" fillId="2" borderId="5" xfId="2" applyFont="1" applyFill="1" applyBorder="1" applyProtection="1">
      <protection locked="0"/>
    </xf>
    <xf numFmtId="0" fontId="2" fillId="0" borderId="0" xfId="2" applyFont="1" applyAlignment="1">
      <alignment horizontal="right"/>
    </xf>
    <xf numFmtId="1" fontId="3" fillId="2" borderId="1" xfId="2" applyNumberFormat="1" applyFill="1" applyBorder="1" applyProtection="1">
      <protection locked="0"/>
    </xf>
    <xf numFmtId="0" fontId="4" fillId="6" borderId="0" xfId="2" applyFont="1" applyFill="1" applyAlignment="1">
      <alignment horizontal="left" indent="1"/>
    </xf>
    <xf numFmtId="0" fontId="4" fillId="6" borderId="0" xfId="2" applyFont="1" applyFill="1"/>
    <xf numFmtId="0" fontId="3" fillId="6" borderId="0" xfId="2" applyFill="1"/>
    <xf numFmtId="0" fontId="10" fillId="0" borderId="0" xfId="2" applyFont="1" applyAlignment="1">
      <alignment horizontal="right"/>
    </xf>
    <xf numFmtId="0" fontId="11" fillId="0" borderId="0" xfId="2" applyFont="1" applyAlignment="1">
      <alignment horizontal="right"/>
    </xf>
    <xf numFmtId="0" fontId="4" fillId="0" borderId="0" xfId="2" applyFont="1"/>
    <xf numFmtId="0" fontId="3" fillId="2" borderId="1" xfId="2" applyFill="1" applyBorder="1" applyAlignment="1" applyProtection="1">
      <alignment horizontal="left" indent="2"/>
      <protection locked="0"/>
    </xf>
    <xf numFmtId="167" fontId="3" fillId="2" borderId="1" xfId="2" applyNumberFormat="1" applyFill="1" applyBorder="1" applyProtection="1">
      <protection locked="0"/>
    </xf>
    <xf numFmtId="167" fontId="3" fillId="0" borderId="0" xfId="2" applyNumberFormat="1"/>
    <xf numFmtId="168" fontId="3" fillId="0" borderId="0" xfId="2" applyNumberFormat="1"/>
    <xf numFmtId="167" fontId="10" fillId="0" borderId="0" xfId="2" applyNumberFormat="1" applyFont="1"/>
    <xf numFmtId="168" fontId="10" fillId="0" borderId="0" xfId="2" applyNumberFormat="1" applyFont="1"/>
    <xf numFmtId="167" fontId="2" fillId="0" borderId="0" xfId="2" applyNumberFormat="1" applyFont="1"/>
    <xf numFmtId="168" fontId="2" fillId="0" borderId="0" xfId="2" applyNumberFormat="1" applyFont="1"/>
    <xf numFmtId="167" fontId="3" fillId="0" borderId="0" xfId="2" quotePrefix="1" applyNumberFormat="1" applyAlignment="1">
      <alignment horizontal="right"/>
    </xf>
    <xf numFmtId="0" fontId="4" fillId="0" borderId="0" xfId="2" applyFont="1" applyAlignment="1">
      <alignment horizontal="left" indent="1"/>
    </xf>
    <xf numFmtId="167" fontId="4" fillId="2" borderId="1" xfId="2" applyNumberFormat="1" applyFont="1" applyFill="1" applyBorder="1" applyProtection="1">
      <protection locked="0"/>
    </xf>
    <xf numFmtId="0" fontId="4" fillId="2" borderId="1" xfId="2" applyFont="1" applyFill="1" applyBorder="1" applyProtection="1">
      <protection locked="0"/>
    </xf>
    <xf numFmtId="1" fontId="4" fillId="2" borderId="1" xfId="2" applyNumberFormat="1" applyFont="1" applyFill="1" applyBorder="1" applyProtection="1">
      <protection locked="0"/>
    </xf>
    <xf numFmtId="0" fontId="8" fillId="0" borderId="0" xfId="1" applyFont="1" applyAlignment="1" applyProtection="1"/>
    <xf numFmtId="167" fontId="4" fillId="0" borderId="0" xfId="2" applyNumberFormat="1" applyFont="1"/>
    <xf numFmtId="167" fontId="3" fillId="0" borderId="0" xfId="2" applyNumberFormat="1" applyAlignment="1">
      <alignment horizontal="right"/>
    </xf>
    <xf numFmtId="14" fontId="3" fillId="0" borderId="0" xfId="2" applyNumberFormat="1" applyAlignment="1">
      <alignment horizontal="left" indent="1"/>
    </xf>
    <xf numFmtId="0" fontId="12" fillId="0" borderId="0" xfId="2" applyFont="1" applyAlignment="1">
      <alignment horizontal="left" indent="1"/>
    </xf>
    <xf numFmtId="167" fontId="3" fillId="0" borderId="0" xfId="2" applyNumberFormat="1" applyAlignment="1">
      <alignment horizontal="left" indent="1"/>
    </xf>
    <xf numFmtId="0" fontId="0" fillId="0" borderId="0" xfId="0" applyBorder="1" applyAlignment="1"/>
    <xf numFmtId="0" fontId="0" fillId="0" borderId="16" xfId="0" applyBorder="1"/>
    <xf numFmtId="0" fontId="0" fillId="0" borderId="2" xfId="0" applyBorder="1"/>
    <xf numFmtId="0" fontId="0" fillId="0" borderId="5" xfId="0" applyBorder="1"/>
    <xf numFmtId="0" fontId="0" fillId="0" borderId="24" xfId="0" applyBorder="1"/>
    <xf numFmtId="0" fontId="0" fillId="0" borderId="25" xfId="0" applyBorder="1"/>
    <xf numFmtId="0" fontId="0" fillId="0" borderId="13" xfId="0" applyBorder="1" applyAlignment="1">
      <alignment wrapText="1"/>
    </xf>
    <xf numFmtId="0" fontId="0" fillId="0" borderId="6" xfId="0" applyBorder="1" applyAlignment="1">
      <alignment wrapText="1"/>
    </xf>
    <xf numFmtId="0" fontId="0" fillId="0" borderId="1" xfId="0" applyBorder="1" applyAlignment="1">
      <alignment wrapText="1"/>
    </xf>
    <xf numFmtId="167" fontId="0" fillId="0" borderId="0" xfId="0" applyNumberFormat="1" applyAlignment="1">
      <alignment wrapText="1"/>
    </xf>
    <xf numFmtId="167" fontId="0" fillId="0" borderId="17" xfId="0" applyNumberFormat="1" applyBorder="1" applyAlignment="1">
      <alignment wrapText="1"/>
    </xf>
    <xf numFmtId="0" fontId="0" fillId="0" borderId="18" xfId="0" applyBorder="1" applyAlignment="1">
      <alignment wrapText="1"/>
    </xf>
    <xf numFmtId="167" fontId="0" fillId="0" borderId="19" xfId="0" applyNumberFormat="1" applyBorder="1" applyAlignment="1">
      <alignment wrapText="1"/>
    </xf>
    <xf numFmtId="0" fontId="0" fillId="0" borderId="15" xfId="0" applyBorder="1" applyAlignment="1">
      <alignment wrapText="1"/>
    </xf>
    <xf numFmtId="167" fontId="0" fillId="0" borderId="1" xfId="0" applyNumberFormat="1" applyBorder="1"/>
    <xf numFmtId="0" fontId="0" fillId="0" borderId="1" xfId="0" applyBorder="1" applyAlignment="1">
      <alignment horizontal="center" wrapText="1"/>
    </xf>
    <xf numFmtId="167" fontId="0" fillId="0" borderId="6" xfId="0" applyNumberFormat="1" applyBorder="1" applyAlignment="1">
      <alignment wrapText="1"/>
    </xf>
    <xf numFmtId="0" fontId="0" fillId="0" borderId="19" xfId="0" applyBorder="1" applyAlignment="1">
      <alignment wrapText="1"/>
    </xf>
    <xf numFmtId="0" fontId="0" fillId="0" borderId="0" xfId="0" applyBorder="1"/>
    <xf numFmtId="3" fontId="0" fillId="0" borderId="1" xfId="0" applyNumberFormat="1" applyBorder="1"/>
    <xf numFmtId="3" fontId="0" fillId="0" borderId="0" xfId="0" applyNumberFormat="1" applyAlignment="1">
      <alignment wrapText="1"/>
    </xf>
    <xf numFmtId="0" fontId="0" fillId="0" borderId="0" xfId="0" applyBorder="1" applyAlignment="1">
      <alignment wrapText="1"/>
    </xf>
    <xf numFmtId="168" fontId="0" fillId="0" borderId="0" xfId="0" applyNumberFormat="1" applyBorder="1"/>
    <xf numFmtId="0" fontId="0" fillId="0" borderId="0" xfId="0" applyBorder="1" applyAlignment="1">
      <alignment horizontal="center" wrapText="1"/>
    </xf>
    <xf numFmtId="168" fontId="0" fillId="0" borderId="1" xfId="0" applyNumberFormat="1" applyBorder="1"/>
    <xf numFmtId="168" fontId="0" fillId="0" borderId="14" xfId="0" applyNumberFormat="1" applyBorder="1"/>
    <xf numFmtId="168" fontId="0" fillId="0" borderId="16" xfId="0" applyNumberFormat="1" applyBorder="1"/>
    <xf numFmtId="168" fontId="0" fillId="0" borderId="17" xfId="0" applyNumberFormat="1" applyBorder="1"/>
    <xf numFmtId="167" fontId="0" fillId="0" borderId="0" xfId="0" applyNumberFormat="1" applyBorder="1"/>
    <xf numFmtId="3" fontId="0" fillId="0" borderId="0" xfId="0" applyNumberFormat="1" applyBorder="1"/>
    <xf numFmtId="0" fontId="0" fillId="4" borderId="1" xfId="0" applyFill="1" applyBorder="1"/>
    <xf numFmtId="0" fontId="0" fillId="0" borderId="1" xfId="0" applyBorder="1" applyAlignment="1">
      <alignment horizontal="center"/>
    </xf>
    <xf numFmtId="0" fontId="0" fillId="0" borderId="11" xfId="0" applyBorder="1"/>
    <xf numFmtId="167" fontId="0" fillId="0" borderId="11" xfId="0" applyNumberFormat="1" applyBorder="1"/>
    <xf numFmtId="167" fontId="0" fillId="0" borderId="14" xfId="0" applyNumberFormat="1" applyBorder="1"/>
    <xf numFmtId="167" fontId="0" fillId="0" borderId="13" xfId="0" applyNumberFormat="1" applyBorder="1"/>
    <xf numFmtId="3" fontId="0" fillId="0" borderId="16" xfId="0" applyNumberFormat="1" applyBorder="1"/>
    <xf numFmtId="0" fontId="0" fillId="0" borderId="10" xfId="0" applyBorder="1" applyAlignment="1">
      <alignment horizontal="center"/>
    </xf>
    <xf numFmtId="0" fontId="0" fillId="0" borderId="11" xfId="0" applyBorder="1" applyAlignment="1">
      <alignment horizontal="center"/>
    </xf>
    <xf numFmtId="167" fontId="0" fillId="0" borderId="13" xfId="0" applyNumberFormat="1" applyBorder="1" applyAlignment="1">
      <alignment horizontal="center" wrapText="1"/>
    </xf>
    <xf numFmtId="167" fontId="0" fillId="3" borderId="1" xfId="0" applyNumberFormat="1" applyFill="1" applyBorder="1"/>
    <xf numFmtId="167" fontId="0" fillId="7" borderId="14" xfId="0" applyNumberFormat="1" applyFill="1" applyBorder="1"/>
    <xf numFmtId="167" fontId="0" fillId="7" borderId="1" xfId="0" applyNumberFormat="1" applyFill="1" applyBorder="1"/>
    <xf numFmtId="0" fontId="0" fillId="0" borderId="1" xfId="0" applyBorder="1" applyAlignment="1"/>
    <xf numFmtId="0" fontId="0" fillId="0" borderId="16" xfId="0" applyBorder="1" applyAlignment="1"/>
    <xf numFmtId="168" fontId="0" fillId="0" borderId="0" xfId="0" applyNumberFormat="1" applyBorder="1" applyAlignment="1"/>
    <xf numFmtId="3" fontId="0" fillId="0" borderId="18" xfId="0" applyNumberFormat="1" applyBorder="1" applyAlignment="1">
      <alignment wrapText="1"/>
    </xf>
    <xf numFmtId="3" fontId="0" fillId="0" borderId="13" xfId="0" applyNumberFormat="1" applyBorder="1" applyAlignment="1">
      <alignment wrapText="1"/>
    </xf>
    <xf numFmtId="4" fontId="0" fillId="0" borderId="1" xfId="0" applyNumberFormat="1" applyBorder="1" applyAlignment="1">
      <alignment wrapText="1"/>
    </xf>
    <xf numFmtId="4" fontId="0" fillId="0" borderId="14" xfId="0" applyNumberFormat="1" applyBorder="1" applyAlignment="1">
      <alignment wrapText="1"/>
    </xf>
    <xf numFmtId="2" fontId="0" fillId="0" borderId="0" xfId="0" applyNumberFormat="1" applyAlignment="1">
      <alignment wrapText="1"/>
    </xf>
    <xf numFmtId="3" fontId="0" fillId="0" borderId="15" xfId="0" applyNumberFormat="1" applyBorder="1" applyAlignment="1">
      <alignment wrapText="1"/>
    </xf>
    <xf numFmtId="4" fontId="0" fillId="0" borderId="16" xfId="0" applyNumberFormat="1" applyBorder="1" applyAlignment="1">
      <alignment wrapText="1"/>
    </xf>
    <xf numFmtId="4" fontId="0" fillId="0" borderId="17" xfId="0" applyNumberFormat="1" applyBorder="1" applyAlignment="1">
      <alignment wrapText="1"/>
    </xf>
    <xf numFmtId="9" fontId="0" fillId="0" borderId="0" xfId="0" applyNumberFormat="1" applyBorder="1"/>
    <xf numFmtId="0" fontId="0" fillId="0" borderId="25" xfId="0" applyBorder="1" applyAlignment="1">
      <alignment wrapText="1"/>
    </xf>
    <xf numFmtId="0" fontId="0" fillId="4" borderId="27" xfId="0" applyFill="1" applyBorder="1" applyAlignment="1"/>
    <xf numFmtId="0" fontId="0" fillId="4" borderId="28" xfId="0" applyFill="1" applyBorder="1" applyAlignment="1"/>
    <xf numFmtId="0" fontId="0" fillId="4" borderId="13" xfId="0" applyFill="1" applyBorder="1"/>
    <xf numFmtId="3" fontId="0" fillId="4" borderId="1" xfId="0" applyNumberFormat="1" applyFill="1" applyBorder="1"/>
    <xf numFmtId="167" fontId="0" fillId="4" borderId="1" xfId="0" applyNumberFormat="1" applyFill="1" applyBorder="1"/>
    <xf numFmtId="0" fontId="1" fillId="0" borderId="0" xfId="0" applyFont="1"/>
    <xf numFmtId="0" fontId="0" fillId="0" borderId="2" xfId="0" applyBorder="1" applyAlignment="1">
      <alignment wrapText="1"/>
    </xf>
    <xf numFmtId="167" fontId="0" fillId="3" borderId="5" xfId="0" applyNumberFormat="1" applyFill="1" applyBorder="1"/>
    <xf numFmtId="0" fontId="0" fillId="4" borderId="5" xfId="0" applyFill="1" applyBorder="1"/>
    <xf numFmtId="0" fontId="0" fillId="0" borderId="24" xfId="0" applyBorder="1" applyAlignment="1">
      <alignment wrapText="1"/>
    </xf>
    <xf numFmtId="0" fontId="0" fillId="0" borderId="26" xfId="0" applyBorder="1"/>
    <xf numFmtId="0" fontId="0" fillId="0" borderId="31" xfId="0" applyBorder="1" applyAlignment="1">
      <alignment wrapText="1"/>
    </xf>
    <xf numFmtId="3" fontId="0" fillId="0" borderId="6" xfId="0" applyNumberFormat="1" applyBorder="1" applyAlignment="1">
      <alignment wrapText="1"/>
    </xf>
    <xf numFmtId="0" fontId="0" fillId="0" borderId="32" xfId="0" applyBorder="1" applyAlignment="1">
      <alignment wrapText="1"/>
    </xf>
    <xf numFmtId="168" fontId="0" fillId="3" borderId="28" xfId="0" applyNumberFormat="1" applyFill="1" applyBorder="1" applyAlignment="1"/>
    <xf numFmtId="167" fontId="0" fillId="3" borderId="28" xfId="0" applyNumberFormat="1" applyFill="1" applyBorder="1" applyAlignment="1"/>
    <xf numFmtId="168" fontId="0" fillId="3" borderId="29" xfId="0" applyNumberFormat="1" applyFill="1" applyBorder="1" applyAlignment="1"/>
    <xf numFmtId="0" fontId="0" fillId="0" borderId="14" xfId="0" applyBorder="1" applyAlignment="1">
      <alignment wrapText="1"/>
    </xf>
    <xf numFmtId="168" fontId="0" fillId="7" borderId="14" xfId="0" applyNumberFormat="1" applyFill="1" applyBorder="1"/>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4" fontId="0" fillId="0" borderId="6" xfId="0" applyNumberForma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2" xfId="0" applyBorder="1"/>
    <xf numFmtId="0" fontId="0" fillId="0" borderId="14" xfId="0" applyBorder="1" applyAlignment="1">
      <alignment horizontal="center"/>
    </xf>
    <xf numFmtId="0" fontId="0" fillId="0" borderId="14" xfId="0" applyBorder="1" applyAlignment="1">
      <alignment horizontal="center" wrapText="1"/>
    </xf>
    <xf numFmtId="9" fontId="0" fillId="0" borderId="14" xfId="0" applyNumberFormat="1" applyBorder="1"/>
    <xf numFmtId="9" fontId="0" fillId="0" borderId="17" xfId="0" applyNumberFormat="1" applyBorder="1"/>
    <xf numFmtId="3" fontId="0" fillId="0" borderId="7" xfId="0" applyNumberFormat="1" applyBorder="1" applyAlignment="1">
      <alignment horizontal="center" wrapText="1"/>
    </xf>
    <xf numFmtId="3" fontId="0" fillId="0" borderId="8" xfId="0" applyNumberFormat="1" applyBorder="1" applyAlignment="1">
      <alignment horizontal="center" wrapText="1"/>
    </xf>
    <xf numFmtId="167" fontId="0" fillId="0" borderId="16" xfId="0" applyNumberFormat="1" applyBorder="1" applyAlignment="1">
      <alignment wrapText="1"/>
    </xf>
    <xf numFmtId="3" fontId="0" fillId="0" borderId="9" xfId="0" applyNumberFormat="1" applyBorder="1" applyAlignment="1">
      <alignment horizontal="center" wrapText="1"/>
    </xf>
    <xf numFmtId="4" fontId="0" fillId="0" borderId="0" xfId="0" applyNumberFormat="1" applyBorder="1" applyAlignment="1">
      <alignment wrapText="1"/>
    </xf>
    <xf numFmtId="4" fontId="0" fillId="0" borderId="19" xfId="0" applyNumberFormat="1" applyBorder="1" applyAlignment="1">
      <alignment horizontal="center" wrapText="1"/>
    </xf>
    <xf numFmtId="0" fontId="0" fillId="0" borderId="30" xfId="0" applyFill="1" applyBorder="1"/>
  </cellXfs>
  <cellStyles count="5">
    <cellStyle name="Comma 2" xfId="3" xr:uid="{63172307-3758-4860-B990-D645CBD8108E}"/>
    <cellStyle name="Hyperlink" xfId="1" builtinId="8"/>
    <cellStyle name="Normal" xfId="0" builtinId="0"/>
    <cellStyle name="Normal 2" xfId="2" xr:uid="{C35BB3D4-C969-4FA3-83AF-1DE42BDE64C4}"/>
    <cellStyle name="Percent 2" xfId="4" xr:uid="{C796115A-5494-4C2A-AB71-53CBF53601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3</xdr:col>
      <xdr:colOff>708660</xdr:colOff>
      <xdr:row>49</xdr:row>
      <xdr:rowOff>60960</xdr:rowOff>
    </xdr:from>
    <xdr:to>
      <xdr:col>6</xdr:col>
      <xdr:colOff>410358</xdr:colOff>
      <xdr:row>53</xdr:row>
      <xdr:rowOff>44953</xdr:rowOff>
    </xdr:to>
    <xdr:pic>
      <xdr:nvPicPr>
        <xdr:cNvPr id="2" name="Picture 1" title="Iowa State University Extension and Outreach image">
          <a:extLst>
            <a:ext uri="{FF2B5EF4-FFF2-40B4-BE49-F238E27FC236}">
              <a16:creationId xmlns:a16="http://schemas.microsoft.com/office/drawing/2014/main" id="{227465D7-0DD8-4FD2-A257-51F2661448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9960" y="7928610"/>
          <a:ext cx="2473473" cy="631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708660</xdr:colOff>
      <xdr:row>47</xdr:row>
      <xdr:rowOff>60960</xdr:rowOff>
    </xdr:from>
    <xdr:to>
      <xdr:col>6</xdr:col>
      <xdr:colOff>513876</xdr:colOff>
      <xdr:row>51</xdr:row>
      <xdr:rowOff>27699</xdr:rowOff>
    </xdr:to>
    <xdr:pic>
      <xdr:nvPicPr>
        <xdr:cNvPr id="2" name="Picture 1" title="Iowa State University Extension and Outreach image">
          <a:extLst>
            <a:ext uri="{FF2B5EF4-FFF2-40B4-BE49-F238E27FC236}">
              <a16:creationId xmlns:a16="http://schemas.microsoft.com/office/drawing/2014/main" id="{4158C320-24FB-41CD-8532-63C024ECC7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6635" y="7442835"/>
          <a:ext cx="2491266" cy="6144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708660</xdr:colOff>
      <xdr:row>47</xdr:row>
      <xdr:rowOff>60960</xdr:rowOff>
    </xdr:from>
    <xdr:to>
      <xdr:col>6</xdr:col>
      <xdr:colOff>513876</xdr:colOff>
      <xdr:row>51</xdr:row>
      <xdr:rowOff>27699</xdr:rowOff>
    </xdr:to>
    <xdr:pic>
      <xdr:nvPicPr>
        <xdr:cNvPr id="2" name="Picture 1" title="Iowa State University Extension and Outreach image">
          <a:extLst>
            <a:ext uri="{FF2B5EF4-FFF2-40B4-BE49-F238E27FC236}">
              <a16:creationId xmlns:a16="http://schemas.microsoft.com/office/drawing/2014/main" id="{6CFE2EF8-200E-4893-A406-F363CFDA0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6635" y="7442835"/>
          <a:ext cx="2491266" cy="6144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holste@iastate.edu?subject=AgDM%20Spreadsheet%20A1-20%20C-C" TargetMode="External"/><Relationship Id="rId1" Type="http://schemas.openxmlformats.org/officeDocument/2006/relationships/hyperlink" Target="http://www.extension.iastate.edu/agdm/crops/pdf/a1-20.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extension.iastate.edu/agdm/crops/pdf/a1-20.pdf" TargetMode="External"/><Relationship Id="rId2" Type="http://schemas.openxmlformats.org/officeDocument/2006/relationships/hyperlink" Target="mailto:aholste@iastate.edu?subject=AgDM%20Spreadsheet%20A1-20%20C-C" TargetMode="External"/><Relationship Id="rId1" Type="http://schemas.openxmlformats.org/officeDocument/2006/relationships/hyperlink" Target="http://www.extension.iastate.edu/agdm/crops/pdf/a1-20.pdf"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xtension.iastate.edu/agdm/crops/pdf/a1-20.pdf" TargetMode="External"/><Relationship Id="rId2" Type="http://schemas.openxmlformats.org/officeDocument/2006/relationships/hyperlink" Target="mailto:aholste@iastate.edu?subject=AgDM%20Spreadsheet%20A1-20%20C-C" TargetMode="External"/><Relationship Id="rId1" Type="http://schemas.openxmlformats.org/officeDocument/2006/relationships/hyperlink" Target="http://www.extension.iastate.edu/agdm/crops/pdf/a1-20.pdf"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A0F24-E377-40B4-A689-587CF6C6FC7C}">
  <dimension ref="A1:BG68"/>
  <sheetViews>
    <sheetView tabSelected="1" workbookViewId="0">
      <selection activeCell="M13" sqref="M13"/>
    </sheetView>
  </sheetViews>
  <sheetFormatPr defaultRowHeight="15" x14ac:dyDescent="0.25"/>
  <cols>
    <col min="2" max="2" width="19.140625" bestFit="1" customWidth="1"/>
    <col min="3" max="3" width="14" style="10" customWidth="1"/>
    <col min="9" max="9" width="17" style="11" customWidth="1"/>
    <col min="10" max="10" width="10.140625" customWidth="1"/>
    <col min="11" max="11" width="10.28515625" customWidth="1"/>
    <col min="12" max="12" width="10.140625" style="3" customWidth="1"/>
    <col min="13" max="13" width="10.140625" style="11" customWidth="1"/>
    <col min="14" max="14" width="11.5703125" style="3" customWidth="1"/>
    <col min="15" max="18" width="10.140625" style="3" customWidth="1"/>
    <col min="19" max="19" width="10.28515625" customWidth="1"/>
    <col min="21" max="21" width="11.85546875" customWidth="1"/>
    <col min="23" max="24" width="9.140625" style="3"/>
    <col min="25" max="25" width="10" bestFit="1" customWidth="1"/>
    <col min="26" max="26" width="10" customWidth="1"/>
    <col min="27" max="27" width="12" customWidth="1"/>
    <col min="28" max="28" width="10" customWidth="1"/>
    <col min="30" max="30" width="9.140625" style="3"/>
    <col min="34" max="34" width="10.140625" bestFit="1" customWidth="1"/>
    <col min="36" max="36" width="10.7109375" customWidth="1"/>
    <col min="41" max="41" width="10.28515625" customWidth="1"/>
    <col min="43" max="43" width="10.140625" bestFit="1" customWidth="1"/>
    <col min="44" max="44" width="10.7109375" customWidth="1"/>
    <col min="48" max="49" width="10.140625" bestFit="1" customWidth="1"/>
  </cols>
  <sheetData>
    <row r="1" spans="1:30" x14ac:dyDescent="0.25">
      <c r="A1" s="118" t="s">
        <v>194</v>
      </c>
      <c r="B1" s="10"/>
      <c r="C1"/>
      <c r="H1" s="11"/>
      <c r="I1"/>
      <c r="K1" s="3"/>
      <c r="L1" s="11"/>
      <c r="M1" s="3"/>
      <c r="R1"/>
      <c r="V1" s="3"/>
      <c r="X1"/>
      <c r="AC1" s="3"/>
      <c r="AD1"/>
    </row>
    <row r="2" spans="1:30" x14ac:dyDescent="0.25">
      <c r="A2" t="s">
        <v>195</v>
      </c>
      <c r="B2" s="10"/>
      <c r="C2"/>
      <c r="H2" s="11"/>
      <c r="I2"/>
      <c r="K2" s="3"/>
      <c r="L2" s="11"/>
      <c r="M2" s="3"/>
      <c r="R2"/>
      <c r="V2" s="3"/>
      <c r="X2"/>
      <c r="AC2" s="3"/>
      <c r="AD2"/>
    </row>
    <row r="3" spans="1:30" x14ac:dyDescent="0.25">
      <c r="A3" t="s">
        <v>196</v>
      </c>
      <c r="B3" s="10"/>
      <c r="C3"/>
      <c r="H3" s="11"/>
      <c r="I3"/>
      <c r="K3" s="3"/>
      <c r="L3" s="11"/>
      <c r="M3" s="3"/>
      <c r="R3"/>
      <c r="V3" s="3"/>
      <c r="X3"/>
      <c r="AC3" s="3"/>
      <c r="AD3"/>
    </row>
    <row r="4" spans="1:30" x14ac:dyDescent="0.25">
      <c r="A4" t="s">
        <v>199</v>
      </c>
      <c r="B4" s="10"/>
      <c r="C4"/>
      <c r="H4" s="11"/>
      <c r="I4"/>
      <c r="K4" s="3"/>
      <c r="L4" s="11"/>
      <c r="M4" s="3"/>
      <c r="R4"/>
      <c r="V4" s="3"/>
      <c r="X4"/>
      <c r="AC4" s="3"/>
      <c r="AD4"/>
    </row>
    <row r="5" spans="1:30" x14ac:dyDescent="0.25">
      <c r="A5" t="s">
        <v>200</v>
      </c>
    </row>
    <row r="7" spans="1:30" ht="15.75" thickBot="1" x14ac:dyDescent="0.3">
      <c r="A7" s="3"/>
      <c r="C7"/>
      <c r="E7" s="3"/>
      <c r="I7" s="3"/>
      <c r="J7" s="3"/>
      <c r="K7" s="3"/>
      <c r="L7"/>
      <c r="M7"/>
      <c r="N7"/>
      <c r="O7"/>
      <c r="R7"/>
      <c r="X7"/>
      <c r="AD7"/>
    </row>
    <row r="8" spans="1:30" x14ac:dyDescent="0.25">
      <c r="A8" s="94" t="s">
        <v>108</v>
      </c>
      <c r="B8" s="95" t="s">
        <v>109</v>
      </c>
      <c r="C8" s="95" t="s">
        <v>110</v>
      </c>
      <c r="D8" s="89"/>
      <c r="E8" s="90"/>
      <c r="F8" s="89"/>
      <c r="G8" s="89"/>
      <c r="H8" s="142"/>
      <c r="I8" s="3"/>
      <c r="J8" s="3"/>
      <c r="L8"/>
      <c r="M8"/>
      <c r="N8"/>
      <c r="Q8"/>
      <c r="R8"/>
      <c r="V8" s="3"/>
      <c r="W8"/>
      <c r="X8"/>
      <c r="AD8"/>
    </row>
    <row r="9" spans="1:30" x14ac:dyDescent="0.25">
      <c r="A9" s="5">
        <v>43560</v>
      </c>
      <c r="B9" s="87">
        <v>40</v>
      </c>
      <c r="C9" s="4">
        <f>A9*B9</f>
        <v>1742400</v>
      </c>
      <c r="D9" s="4"/>
      <c r="E9" s="4"/>
      <c r="F9" s="4"/>
      <c r="G9" s="4"/>
      <c r="H9" s="6"/>
      <c r="I9" s="3"/>
      <c r="J9" s="3"/>
      <c r="L9"/>
      <c r="M9"/>
      <c r="N9"/>
      <c r="Q9"/>
      <c r="R9"/>
      <c r="V9" s="3"/>
      <c r="W9"/>
      <c r="X9"/>
      <c r="AD9"/>
    </row>
    <row r="10" spans="1:30" x14ac:dyDescent="0.25">
      <c r="A10" s="92"/>
      <c r="B10" s="4"/>
      <c r="C10" s="4"/>
      <c r="D10" s="4"/>
      <c r="E10" s="4"/>
      <c r="F10" s="4"/>
      <c r="G10" s="4"/>
      <c r="H10" s="6"/>
      <c r="I10" s="3"/>
      <c r="J10" s="3"/>
      <c r="L10"/>
      <c r="M10"/>
      <c r="N10"/>
      <c r="Q10"/>
      <c r="R10"/>
      <c r="V10" s="3"/>
      <c r="W10"/>
      <c r="X10"/>
      <c r="AD10"/>
    </row>
    <row r="11" spans="1:30" x14ac:dyDescent="0.25">
      <c r="A11" s="92"/>
      <c r="B11" s="4"/>
      <c r="C11" s="88" t="s">
        <v>107</v>
      </c>
      <c r="D11" s="88"/>
      <c r="E11" s="88"/>
      <c r="F11" s="88"/>
      <c r="G11" s="88"/>
      <c r="H11" s="143"/>
      <c r="I11" s="3"/>
      <c r="J11" s="3"/>
      <c r="L11"/>
      <c r="M11"/>
      <c r="N11"/>
      <c r="Q11"/>
      <c r="R11"/>
      <c r="V11" s="3"/>
      <c r="W11"/>
      <c r="X11"/>
      <c r="AD11"/>
    </row>
    <row r="12" spans="1:30" s="2" customFormat="1" ht="41.25" customHeight="1" x14ac:dyDescent="0.25">
      <c r="A12" s="96" t="s">
        <v>135</v>
      </c>
      <c r="B12" s="72" t="s">
        <v>136</v>
      </c>
      <c r="C12" s="72" t="s">
        <v>137</v>
      </c>
      <c r="D12" s="72" t="s">
        <v>159</v>
      </c>
      <c r="E12" s="72" t="s">
        <v>160</v>
      </c>
      <c r="F12" s="72" t="s">
        <v>161</v>
      </c>
      <c r="G12" s="72" t="s">
        <v>162</v>
      </c>
      <c r="H12" s="144" t="s">
        <v>113</v>
      </c>
      <c r="I12" s="66"/>
      <c r="J12" s="66"/>
      <c r="O12" s="66"/>
      <c r="P12" s="66"/>
      <c r="V12" s="66"/>
    </row>
    <row r="13" spans="1:30" x14ac:dyDescent="0.25">
      <c r="A13" s="5" t="s">
        <v>70</v>
      </c>
      <c r="B13" s="4"/>
      <c r="C13" s="4">
        <v>1</v>
      </c>
      <c r="D13" s="76">
        <f>SQRT(C9)</f>
        <v>1320</v>
      </c>
      <c r="E13" s="76">
        <f>D13</f>
        <v>1320</v>
      </c>
      <c r="F13" s="4">
        <f>(D13*E13)/$A$9</f>
        <v>40</v>
      </c>
      <c r="G13" s="76">
        <f>(2*D13)+(2*E13)</f>
        <v>5280</v>
      </c>
      <c r="H13" s="145">
        <f>(G13/G$13)-1</f>
        <v>0</v>
      </c>
      <c r="I13" s="3"/>
      <c r="J13" s="3"/>
      <c r="L13"/>
      <c r="M13"/>
      <c r="N13"/>
      <c r="Q13"/>
      <c r="R13"/>
      <c r="V13" s="3"/>
      <c r="W13"/>
      <c r="X13"/>
      <c r="AD13"/>
    </row>
    <row r="14" spans="1:30" x14ac:dyDescent="0.25">
      <c r="A14" s="5" t="s">
        <v>158</v>
      </c>
      <c r="B14" s="4">
        <v>1.35</v>
      </c>
      <c r="C14" s="4">
        <f t="shared" ref="C14:C15" si="0">D14/E14</f>
        <v>1.8225000000000005</v>
      </c>
      <c r="D14" s="76">
        <f>D$13*B14</f>
        <v>1782.0000000000002</v>
      </c>
      <c r="E14" s="76">
        <f>E$13/B14</f>
        <v>977.77777777777771</v>
      </c>
      <c r="F14" s="4">
        <f>(D14*E14)/$A$9</f>
        <v>40</v>
      </c>
      <c r="G14" s="76">
        <f t="shared" ref="G14:G16" si="1">(2*D14)+(2*E14)</f>
        <v>5519.5555555555557</v>
      </c>
      <c r="H14" s="145">
        <f t="shared" ref="H14:H16" si="2">(G14/G$13)-1</f>
        <v>4.5370370370370283E-2</v>
      </c>
      <c r="I14" s="3"/>
      <c r="J14" s="3"/>
      <c r="L14"/>
      <c r="M14"/>
      <c r="N14"/>
      <c r="Q14"/>
      <c r="R14"/>
      <c r="V14" s="3"/>
      <c r="W14"/>
      <c r="X14"/>
      <c r="AD14"/>
    </row>
    <row r="15" spans="1:30" x14ac:dyDescent="0.25">
      <c r="A15" s="5" t="s">
        <v>157</v>
      </c>
      <c r="B15" s="4">
        <v>1.9</v>
      </c>
      <c r="C15" s="4">
        <f t="shared" si="0"/>
        <v>3.6099999999999994</v>
      </c>
      <c r="D15" s="76">
        <f>D$13*B15</f>
        <v>2508</v>
      </c>
      <c r="E15" s="76">
        <f>E$13/B15</f>
        <v>694.73684210526324</v>
      </c>
      <c r="F15" s="4">
        <f>(D15*E15)/$A$9</f>
        <v>40.000000000000007</v>
      </c>
      <c r="G15" s="76">
        <f t="shared" si="1"/>
        <v>6405.4736842105267</v>
      </c>
      <c r="H15" s="145">
        <f t="shared" si="2"/>
        <v>0.21315789473684221</v>
      </c>
      <c r="I15" s="3"/>
      <c r="J15" s="3"/>
      <c r="L15"/>
      <c r="M15"/>
      <c r="N15"/>
      <c r="Q15"/>
      <c r="R15"/>
      <c r="V15" s="3"/>
      <c r="W15"/>
      <c r="X15"/>
      <c r="AD15"/>
    </row>
    <row r="16" spans="1:30" ht="15.75" thickBot="1" x14ac:dyDescent="0.3">
      <c r="A16" s="7" t="s">
        <v>156</v>
      </c>
      <c r="B16" s="58">
        <v>2.25</v>
      </c>
      <c r="C16" s="58">
        <f t="shared" ref="C16" si="3">D16/E16</f>
        <v>5.0625</v>
      </c>
      <c r="D16" s="93">
        <f>D$13*B16</f>
        <v>2970</v>
      </c>
      <c r="E16" s="93">
        <f>E$13/B16</f>
        <v>586.66666666666663</v>
      </c>
      <c r="F16" s="58">
        <f>(D16*E16)/$A$9</f>
        <v>40</v>
      </c>
      <c r="G16" s="93">
        <f t="shared" si="1"/>
        <v>7113.333333333333</v>
      </c>
      <c r="H16" s="146">
        <f t="shared" si="2"/>
        <v>0.3472222222222221</v>
      </c>
      <c r="I16" s="3"/>
      <c r="J16" s="3"/>
      <c r="L16"/>
      <c r="M16"/>
      <c r="N16"/>
      <c r="Q16"/>
      <c r="R16"/>
      <c r="V16" s="3"/>
      <c r="W16"/>
      <c r="X16"/>
      <c r="AD16"/>
    </row>
    <row r="17" spans="1:59" x14ac:dyDescent="0.25">
      <c r="A17" s="75"/>
      <c r="B17" s="75"/>
      <c r="C17" s="75"/>
      <c r="D17" s="86"/>
      <c r="E17" s="86"/>
      <c r="F17" s="75"/>
      <c r="G17" s="86"/>
      <c r="H17" s="111"/>
      <c r="I17" s="85"/>
      <c r="J17" s="3"/>
      <c r="K17" s="3"/>
      <c r="L17"/>
      <c r="M17"/>
      <c r="N17"/>
      <c r="O17"/>
      <c r="R17"/>
      <c r="X17"/>
      <c r="AD17"/>
    </row>
    <row r="18" spans="1:59" ht="15.75" thickBot="1" x14ac:dyDescent="0.3">
      <c r="A18" s="75"/>
      <c r="B18" s="75"/>
      <c r="C18" s="57"/>
      <c r="D18" s="75"/>
      <c r="E18" s="75"/>
      <c r="F18" s="75"/>
    </row>
    <row r="19" spans="1:59" s="2" customFormat="1" ht="15.75" customHeight="1" thickBot="1" x14ac:dyDescent="0.3">
      <c r="A19" s="136" t="s">
        <v>134</v>
      </c>
      <c r="B19" s="137"/>
      <c r="C19" s="137"/>
      <c r="D19" s="137"/>
      <c r="E19" s="138"/>
      <c r="F19" s="80"/>
      <c r="H19" s="132" t="s">
        <v>184</v>
      </c>
      <c r="I19" s="133"/>
      <c r="J19" s="133"/>
      <c r="K19" s="133"/>
      <c r="L19" s="134"/>
      <c r="M19" s="139" t="s">
        <v>138</v>
      </c>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132" t="s">
        <v>186</v>
      </c>
      <c r="BB19" s="133"/>
      <c r="BC19" s="133"/>
      <c r="BD19" s="133"/>
      <c r="BE19" s="133"/>
      <c r="BF19" s="133"/>
      <c r="BG19" s="134"/>
    </row>
    <row r="20" spans="1:59" s="2" customFormat="1" ht="105.75" thickBot="1" x14ac:dyDescent="0.3">
      <c r="A20" s="68" t="s">
        <v>104</v>
      </c>
      <c r="B20" s="64" t="s">
        <v>150</v>
      </c>
      <c r="C20" s="64" t="s">
        <v>144</v>
      </c>
      <c r="D20" s="64" t="s">
        <v>101</v>
      </c>
      <c r="E20" s="74" t="s">
        <v>103</v>
      </c>
      <c r="F20" s="78"/>
      <c r="H20" s="122" t="s">
        <v>1</v>
      </c>
      <c r="I20" s="122" t="s">
        <v>2</v>
      </c>
      <c r="J20" s="61" t="s">
        <v>64</v>
      </c>
      <c r="K20" s="112" t="s">
        <v>164</v>
      </c>
      <c r="L20" s="112" t="s">
        <v>77</v>
      </c>
      <c r="M20" s="124" t="s">
        <v>165</v>
      </c>
      <c r="N20" s="119" t="s">
        <v>71</v>
      </c>
      <c r="O20" s="125" t="s">
        <v>105</v>
      </c>
      <c r="P20" s="64" t="s">
        <v>106</v>
      </c>
      <c r="Q20" s="73" t="s">
        <v>117</v>
      </c>
      <c r="R20" s="125" t="s">
        <v>111</v>
      </c>
      <c r="S20" s="73" t="s">
        <v>112</v>
      </c>
      <c r="T20" s="73" t="s">
        <v>118</v>
      </c>
      <c r="U20" s="73" t="s">
        <v>114</v>
      </c>
      <c r="V20" s="64" t="s">
        <v>115</v>
      </c>
      <c r="W20" s="73" t="s">
        <v>132</v>
      </c>
      <c r="X20" s="74" t="s">
        <v>133</v>
      </c>
      <c r="Y20" s="68" t="s">
        <v>76</v>
      </c>
      <c r="Z20" s="64" t="s">
        <v>120</v>
      </c>
      <c r="AA20" s="64" t="s">
        <v>116</v>
      </c>
      <c r="AB20" s="73" t="s">
        <v>119</v>
      </c>
      <c r="AC20" s="73" t="s">
        <v>124</v>
      </c>
      <c r="AD20" s="64" t="s">
        <v>123</v>
      </c>
      <c r="AE20" s="73" t="s">
        <v>131</v>
      </c>
      <c r="AF20" s="64" t="s">
        <v>153</v>
      </c>
      <c r="AG20" s="69" t="s">
        <v>125</v>
      </c>
      <c r="AH20" s="68" t="s">
        <v>126</v>
      </c>
      <c r="AI20" s="73" t="s">
        <v>127</v>
      </c>
      <c r="AJ20" s="73" t="s">
        <v>128</v>
      </c>
      <c r="AK20" s="64" t="s">
        <v>129</v>
      </c>
      <c r="AL20" s="64" t="s">
        <v>130</v>
      </c>
      <c r="AM20" s="74" t="s">
        <v>154</v>
      </c>
      <c r="AN20" s="68" t="s">
        <v>75</v>
      </c>
      <c r="AO20" s="64" t="s">
        <v>166</v>
      </c>
      <c r="AP20" s="64" t="s">
        <v>173</v>
      </c>
      <c r="AQ20" s="73" t="s">
        <v>174</v>
      </c>
      <c r="AR20" s="73" t="s">
        <v>175</v>
      </c>
      <c r="AS20" s="64" t="s">
        <v>176</v>
      </c>
      <c r="AT20" s="73" t="s">
        <v>177</v>
      </c>
      <c r="AU20" s="64" t="s">
        <v>178</v>
      </c>
      <c r="AV20" s="69" t="s">
        <v>179</v>
      </c>
      <c r="AW20" s="119" t="s">
        <v>139</v>
      </c>
      <c r="AX20" s="64" t="s">
        <v>140</v>
      </c>
      <c r="AY20" s="64" t="s">
        <v>141</v>
      </c>
      <c r="AZ20" s="74" t="s">
        <v>155</v>
      </c>
      <c r="BA20" s="124" t="s">
        <v>181</v>
      </c>
      <c r="BB20" s="124" t="s">
        <v>182</v>
      </c>
      <c r="BC20" s="124" t="s">
        <v>163</v>
      </c>
      <c r="BD20" s="124" t="s">
        <v>187</v>
      </c>
      <c r="BE20" s="124" t="s">
        <v>188</v>
      </c>
      <c r="BF20" s="124" t="s">
        <v>183</v>
      </c>
      <c r="BG20" s="126" t="s">
        <v>185</v>
      </c>
    </row>
    <row r="21" spans="1:59" ht="15.75" thickBot="1" x14ac:dyDescent="0.3">
      <c r="A21" s="5" t="s">
        <v>82</v>
      </c>
      <c r="B21" s="4" t="s">
        <v>197</v>
      </c>
      <c r="C21" s="100" t="s">
        <v>149</v>
      </c>
      <c r="D21" s="81"/>
      <c r="E21" s="82">
        <f>D21/0.9</f>
        <v>0</v>
      </c>
      <c r="F21" s="79"/>
      <c r="H21" s="62" t="s">
        <v>189</v>
      </c>
      <c r="I21" s="153">
        <f>$B$9</f>
        <v>40</v>
      </c>
      <c r="J21" s="113" t="s">
        <v>63</v>
      </c>
      <c r="K21" s="114">
        <v>4</v>
      </c>
      <c r="L21" s="114" t="s">
        <v>78</v>
      </c>
      <c r="M21" s="114" t="s">
        <v>58</v>
      </c>
      <c r="N21" s="121" t="s">
        <v>70</v>
      </c>
      <c r="O21" s="116">
        <f>IF(N21="", "", VLOOKUP(N21, $A$13:$G$16, 7, FALSE))</f>
        <v>5280</v>
      </c>
      <c r="P21" s="87" t="s">
        <v>84</v>
      </c>
      <c r="Q21" s="71">
        <f>IF(P21="", "", VLOOKUP(P21, $B$31:$F$35, 5, FALSE))</f>
        <v>1.8133333333333335</v>
      </c>
      <c r="R21" s="116">
        <v>1500</v>
      </c>
      <c r="S21" s="117" t="s">
        <v>89</v>
      </c>
      <c r="T21" s="71">
        <f>IF(S21="","n/a",VLOOKUP(S21,$B$31:$F$35, 5, FALSE))</f>
        <v>0.37333333333333335</v>
      </c>
      <c r="U21" s="97">
        <f t="shared" ref="U21:U24" si="4">(O21*Q21)+(R21*T21)</f>
        <v>10134.400000000001</v>
      </c>
      <c r="V21" s="87">
        <v>20</v>
      </c>
      <c r="W21" s="71">
        <f t="shared" ref="W21:W24" si="5">U21/V21</f>
        <v>506.72000000000008</v>
      </c>
      <c r="X21" s="98">
        <f t="shared" ref="X21:X24" si="6">W21/I21</f>
        <v>12.668000000000003</v>
      </c>
      <c r="Y21" s="115" t="s">
        <v>59</v>
      </c>
      <c r="Z21" s="87" t="s">
        <v>122</v>
      </c>
      <c r="AA21" s="87">
        <v>4000</v>
      </c>
      <c r="AB21" s="71">
        <f>IF(Y21="No", "", VLOOKUP(Z21, $B$49:$F$52, 5, FALSE))</f>
        <v>2.3066666666666666</v>
      </c>
      <c r="AC21" s="97">
        <f t="shared" ref="AC21:AC24" si="7">AA21*AB21</f>
        <v>9226.6666666666661</v>
      </c>
      <c r="AD21" s="87">
        <v>30</v>
      </c>
      <c r="AE21" s="71">
        <f t="shared" ref="AE21:AE24" si="8">AC21/AD21</f>
        <v>307.55555555555554</v>
      </c>
      <c r="AF21" s="99">
        <f t="shared" ref="AF21:AF24" si="9">AE21/I21</f>
        <v>7.6888888888888882</v>
      </c>
      <c r="AG21" s="91">
        <f t="shared" ref="AG21:AG24" si="10">AE21/I21</f>
        <v>7.6888888888888882</v>
      </c>
      <c r="AH21" s="115" t="s">
        <v>94</v>
      </c>
      <c r="AI21" s="71">
        <f>IF(AH21="", "", VLOOKUP(AH21, $B$37:$F$46, 5, FALSE))</f>
        <v>189.50666666666666</v>
      </c>
      <c r="AJ21" s="97">
        <f t="shared" ref="AJ21:AJ24" si="11">AI21*I21</f>
        <v>7580.2666666666664</v>
      </c>
      <c r="AK21" s="87">
        <v>15</v>
      </c>
      <c r="AL21" s="71">
        <f t="shared" ref="AL21:AL24" si="12">AJ21/AK21</f>
        <v>505.35111111111109</v>
      </c>
      <c r="AM21" s="98">
        <f t="shared" ref="AM21:AM24" si="13">AL21/I21</f>
        <v>12.633777777777777</v>
      </c>
      <c r="AN21" s="115" t="s">
        <v>59</v>
      </c>
      <c r="AO21" s="87" t="s">
        <v>170</v>
      </c>
      <c r="AP21" s="87">
        <v>4000</v>
      </c>
      <c r="AQ21" s="71">
        <f>IF(AN21="No", "", HLOOKUP(AO21, $I$35:$N$36, 2, FALSE))</f>
        <v>2</v>
      </c>
      <c r="AR21" s="97">
        <f t="shared" ref="AR21:AR24" si="14">AP21*AQ21</f>
        <v>8000</v>
      </c>
      <c r="AS21" s="87">
        <v>20</v>
      </c>
      <c r="AT21" s="71">
        <f t="shared" ref="AT21:AT24" si="15">AR21/AS21</f>
        <v>400</v>
      </c>
      <c r="AU21" s="99">
        <f>AT21/$B$9</f>
        <v>10</v>
      </c>
      <c r="AV21" s="91">
        <f t="shared" ref="AV21:AV24" si="16">AT21/I21</f>
        <v>10</v>
      </c>
      <c r="AW21" s="120">
        <f t="shared" ref="AW21:AW24" si="17">AR21+AJ21+AC21+U21</f>
        <v>34941.333333333336</v>
      </c>
      <c r="AX21" s="71">
        <f t="shared" ref="AX21:AX24" si="18">AW21/I21</f>
        <v>873.53333333333342</v>
      </c>
      <c r="AY21" s="71">
        <f t="shared" ref="AY21:AY24" si="19">AT21+AL21+AE21+W21</f>
        <v>1719.6266666666668</v>
      </c>
      <c r="AZ21" s="131">
        <f t="shared" ref="AZ21:AZ24" si="20">AU21+AM21+AF21+X21</f>
        <v>42.990666666666669</v>
      </c>
      <c r="BA21" s="127">
        <f t="shared" ref="BA21:BA24" si="21">AY21</f>
        <v>1719.6266666666668</v>
      </c>
      <c r="BB21" s="128">
        <f t="shared" ref="BB21:BB24" si="22">BA21/I21</f>
        <v>42.990666666666669</v>
      </c>
      <c r="BC21" s="127">
        <f>IF(J21="Grass",'Pasture-Grass'!$F$47*I21,IF(J21="G-L Mix",'Pasture-Grass-Leg'!$F$45*I21, 'Pasture-Legume'!$F$45*I21))</f>
        <v>5357</v>
      </c>
      <c r="BD21" s="127">
        <f t="shared" ref="BD21:BD24" si="23">BC21/I21</f>
        <v>133.92500000000001</v>
      </c>
      <c r="BE21" s="127">
        <f t="shared" ref="BE21:BE24" si="24">AZ21+BD21</f>
        <v>176.91566666666668</v>
      </c>
      <c r="BF21" s="127">
        <f>BC21+BA21</f>
        <v>7076.626666666667</v>
      </c>
      <c r="BG21" s="129">
        <f>BF21/(K21*I21)</f>
        <v>44.22891666666667</v>
      </c>
    </row>
    <row r="22" spans="1:59" ht="15.75" thickBot="1" x14ac:dyDescent="0.3">
      <c r="A22" s="5" t="s">
        <v>81</v>
      </c>
      <c r="B22" s="4" t="s">
        <v>152</v>
      </c>
      <c r="C22" s="100" t="s">
        <v>148</v>
      </c>
      <c r="D22" s="81">
        <v>79</v>
      </c>
      <c r="E22" s="82">
        <f t="shared" ref="E22:E25" si="25">D22/0.9</f>
        <v>87.777777777777771</v>
      </c>
      <c r="F22" s="79"/>
      <c r="H22" s="123" t="s">
        <v>190</v>
      </c>
      <c r="I22" s="153">
        <f t="shared" ref="I22:I24" si="26">$B$9</f>
        <v>40</v>
      </c>
      <c r="J22" s="113" t="s">
        <v>63</v>
      </c>
      <c r="K22" s="114">
        <v>4</v>
      </c>
      <c r="L22" s="114" t="s">
        <v>78</v>
      </c>
      <c r="M22" s="114" t="s">
        <v>58</v>
      </c>
      <c r="N22" s="121" t="s">
        <v>158</v>
      </c>
      <c r="O22" s="116">
        <f>IF(N22="", "", VLOOKUP(N22, $A$13:$G$16, 7, FALSE))</f>
        <v>5519.5555555555557</v>
      </c>
      <c r="P22" s="87" t="s">
        <v>84</v>
      </c>
      <c r="Q22" s="71">
        <f>IF(P22="", "", VLOOKUP(P22, $B$31:$F$35, 5, FALSE))</f>
        <v>1.8133333333333335</v>
      </c>
      <c r="R22" s="116">
        <v>1500</v>
      </c>
      <c r="S22" s="117" t="s">
        <v>89</v>
      </c>
      <c r="T22" s="71">
        <f>IF(S22="","n/a",VLOOKUP(S22,$B$31:$F$35, 5, FALSE))</f>
        <v>0.37333333333333335</v>
      </c>
      <c r="U22" s="97">
        <f t="shared" si="4"/>
        <v>10568.794074074074</v>
      </c>
      <c r="V22" s="87">
        <v>20</v>
      </c>
      <c r="W22" s="71">
        <f t="shared" si="5"/>
        <v>528.43970370370369</v>
      </c>
      <c r="X22" s="98">
        <f t="shared" si="6"/>
        <v>13.210992592592593</v>
      </c>
      <c r="Y22" s="115" t="s">
        <v>59</v>
      </c>
      <c r="Z22" s="87" t="s">
        <v>122</v>
      </c>
      <c r="AA22" s="87">
        <v>4000</v>
      </c>
      <c r="AB22" s="71">
        <f>IF(Y22="No", "", VLOOKUP(Z22, $B$49:$F$52, 5, FALSE))</f>
        <v>2.3066666666666666</v>
      </c>
      <c r="AC22" s="97">
        <f t="shared" si="7"/>
        <v>9226.6666666666661</v>
      </c>
      <c r="AD22" s="87">
        <v>30</v>
      </c>
      <c r="AE22" s="71">
        <f t="shared" si="8"/>
        <v>307.55555555555554</v>
      </c>
      <c r="AF22" s="99">
        <f t="shared" si="9"/>
        <v>7.6888888888888882</v>
      </c>
      <c r="AG22" s="91">
        <f t="shared" si="10"/>
        <v>7.6888888888888882</v>
      </c>
      <c r="AH22" s="115" t="s">
        <v>94</v>
      </c>
      <c r="AI22" s="71">
        <f>IF(AH22="", "", VLOOKUP(AH22, $B$37:$F$46, 5, FALSE))</f>
        <v>189.50666666666666</v>
      </c>
      <c r="AJ22" s="97">
        <f t="shared" si="11"/>
        <v>7580.2666666666664</v>
      </c>
      <c r="AK22" s="87">
        <v>15</v>
      </c>
      <c r="AL22" s="71">
        <f t="shared" si="12"/>
        <v>505.35111111111109</v>
      </c>
      <c r="AM22" s="98">
        <f t="shared" si="13"/>
        <v>12.633777777777777</v>
      </c>
      <c r="AN22" s="115" t="s">
        <v>59</v>
      </c>
      <c r="AO22" s="87" t="s">
        <v>170</v>
      </c>
      <c r="AP22" s="87">
        <v>4000</v>
      </c>
      <c r="AQ22" s="71">
        <f>IF(AN22="No", "", HLOOKUP(AO22, $I$35:$N$36, 2, FALSE))</f>
        <v>2</v>
      </c>
      <c r="AR22" s="97">
        <f t="shared" si="14"/>
        <v>8000</v>
      </c>
      <c r="AS22" s="87">
        <v>20</v>
      </c>
      <c r="AT22" s="71">
        <f t="shared" si="15"/>
        <v>400</v>
      </c>
      <c r="AU22" s="99">
        <f>AT22/$B$9</f>
        <v>10</v>
      </c>
      <c r="AV22" s="91">
        <f t="shared" si="16"/>
        <v>10</v>
      </c>
      <c r="AW22" s="120">
        <f t="shared" si="17"/>
        <v>35375.727407407408</v>
      </c>
      <c r="AX22" s="71">
        <f t="shared" si="18"/>
        <v>884.39318518518519</v>
      </c>
      <c r="AY22" s="71">
        <f t="shared" si="19"/>
        <v>1741.3463703703706</v>
      </c>
      <c r="AZ22" s="131">
        <f t="shared" si="20"/>
        <v>43.533659259259252</v>
      </c>
      <c r="BA22" s="127">
        <f t="shared" si="21"/>
        <v>1741.3463703703706</v>
      </c>
      <c r="BB22" s="128">
        <f t="shared" si="22"/>
        <v>43.533659259259267</v>
      </c>
      <c r="BC22" s="127">
        <f>IF(J22="Grass",'Pasture-Grass'!$F$47*I22,IF(J22="G-L Mix",'Pasture-Grass-Leg'!$F$45*I22, 'Pasture-Legume'!$F$45*I22))</f>
        <v>5357</v>
      </c>
      <c r="BD22" s="127">
        <f t="shared" si="23"/>
        <v>133.92500000000001</v>
      </c>
      <c r="BE22" s="127">
        <f t="shared" si="24"/>
        <v>177.45865925925926</v>
      </c>
      <c r="BF22" s="127">
        <f>BC22+BA22</f>
        <v>7098.346370370371</v>
      </c>
      <c r="BG22" s="129">
        <f>BF22/(K22*I22)</f>
        <v>44.364664814814816</v>
      </c>
    </row>
    <row r="23" spans="1:59" ht="15.75" thickBot="1" x14ac:dyDescent="0.3">
      <c r="A23" s="5" t="s">
        <v>80</v>
      </c>
      <c r="B23" s="4" t="s">
        <v>151</v>
      </c>
      <c r="C23" s="100" t="s">
        <v>146</v>
      </c>
      <c r="D23" s="81">
        <v>105</v>
      </c>
      <c r="E23" s="82">
        <f t="shared" si="25"/>
        <v>116.66666666666666</v>
      </c>
      <c r="F23" s="79"/>
      <c r="H23" s="62" t="s">
        <v>191</v>
      </c>
      <c r="I23" s="153">
        <f t="shared" si="26"/>
        <v>40</v>
      </c>
      <c r="J23" s="113" t="s">
        <v>63</v>
      </c>
      <c r="K23" s="114">
        <v>4</v>
      </c>
      <c r="L23" s="114" t="s">
        <v>78</v>
      </c>
      <c r="M23" s="114" t="s">
        <v>58</v>
      </c>
      <c r="N23" s="121" t="s">
        <v>157</v>
      </c>
      <c r="O23" s="116">
        <f>IF(N23="", "", VLOOKUP(N23, $A$13:$G$16, 7, FALSE))</f>
        <v>6405.4736842105267</v>
      </c>
      <c r="P23" s="87" t="s">
        <v>84</v>
      </c>
      <c r="Q23" s="71">
        <f>IF(P23="", "", VLOOKUP(P23, $B$31:$F$35, 5, FALSE))</f>
        <v>1.8133333333333335</v>
      </c>
      <c r="R23" s="116">
        <v>1500</v>
      </c>
      <c r="S23" s="117" t="s">
        <v>89</v>
      </c>
      <c r="T23" s="71">
        <f>IF(S23="","n/a",VLOOKUP(S23,$B$31:$F$35, 5, FALSE))</f>
        <v>0.37333333333333335</v>
      </c>
      <c r="U23" s="97">
        <f t="shared" si="4"/>
        <v>12175.258947368422</v>
      </c>
      <c r="V23" s="87">
        <v>20</v>
      </c>
      <c r="W23" s="71">
        <f t="shared" si="5"/>
        <v>608.76294736842112</v>
      </c>
      <c r="X23" s="98">
        <f t="shared" si="6"/>
        <v>15.219073684210528</v>
      </c>
      <c r="Y23" s="115" t="s">
        <v>59</v>
      </c>
      <c r="Z23" s="87" t="s">
        <v>122</v>
      </c>
      <c r="AA23" s="87">
        <v>4000</v>
      </c>
      <c r="AB23" s="71">
        <f>IF(Y23="No", "", VLOOKUP(Z23, $B$49:$F$52, 5, FALSE))</f>
        <v>2.3066666666666666</v>
      </c>
      <c r="AC23" s="97">
        <f t="shared" si="7"/>
        <v>9226.6666666666661</v>
      </c>
      <c r="AD23" s="87">
        <v>30</v>
      </c>
      <c r="AE23" s="71">
        <f t="shared" si="8"/>
        <v>307.55555555555554</v>
      </c>
      <c r="AF23" s="99">
        <f t="shared" si="9"/>
        <v>7.6888888888888882</v>
      </c>
      <c r="AG23" s="91">
        <f t="shared" si="10"/>
        <v>7.6888888888888882</v>
      </c>
      <c r="AH23" s="115" t="s">
        <v>94</v>
      </c>
      <c r="AI23" s="71">
        <f>IF(AH23="", "", VLOOKUP(AH23, $B$37:$F$46, 5, FALSE))</f>
        <v>189.50666666666666</v>
      </c>
      <c r="AJ23" s="97">
        <f t="shared" si="11"/>
        <v>7580.2666666666664</v>
      </c>
      <c r="AK23" s="87">
        <v>15</v>
      </c>
      <c r="AL23" s="71">
        <f t="shared" si="12"/>
        <v>505.35111111111109</v>
      </c>
      <c r="AM23" s="98">
        <f t="shared" si="13"/>
        <v>12.633777777777777</v>
      </c>
      <c r="AN23" s="115" t="s">
        <v>59</v>
      </c>
      <c r="AO23" s="87" t="s">
        <v>170</v>
      </c>
      <c r="AP23" s="87">
        <v>4000</v>
      </c>
      <c r="AQ23" s="71">
        <f>IF(AN23="No", "", HLOOKUP(AO23, $I$35:$N$36, 2, FALSE))</f>
        <v>2</v>
      </c>
      <c r="AR23" s="97">
        <f t="shared" si="14"/>
        <v>8000</v>
      </c>
      <c r="AS23" s="87">
        <v>20</v>
      </c>
      <c r="AT23" s="71">
        <f t="shared" si="15"/>
        <v>400</v>
      </c>
      <c r="AU23" s="99">
        <f>AT23/$B$9</f>
        <v>10</v>
      </c>
      <c r="AV23" s="91">
        <f t="shared" si="16"/>
        <v>10</v>
      </c>
      <c r="AW23" s="120">
        <f t="shared" si="17"/>
        <v>36982.192280701754</v>
      </c>
      <c r="AX23" s="71">
        <f t="shared" si="18"/>
        <v>924.55480701754391</v>
      </c>
      <c r="AY23" s="71">
        <f t="shared" si="19"/>
        <v>1821.6696140350878</v>
      </c>
      <c r="AZ23" s="131">
        <f t="shared" si="20"/>
        <v>45.541740350877191</v>
      </c>
      <c r="BA23" s="127">
        <f t="shared" si="21"/>
        <v>1821.6696140350878</v>
      </c>
      <c r="BB23" s="128">
        <f t="shared" si="22"/>
        <v>45.541740350877191</v>
      </c>
      <c r="BC23" s="127">
        <f>IF(J23="Grass",'Pasture-Grass'!$F$47*I23,IF(J23="G-L Mix",'Pasture-Grass-Leg'!$F$45*I23, 'Pasture-Legume'!$F$45*I23))</f>
        <v>5357</v>
      </c>
      <c r="BD23" s="127">
        <f t="shared" si="23"/>
        <v>133.92500000000001</v>
      </c>
      <c r="BE23" s="127">
        <f t="shared" si="24"/>
        <v>179.46674035087722</v>
      </c>
      <c r="BF23" s="127">
        <f>BC23+BA23</f>
        <v>7178.6696140350878</v>
      </c>
      <c r="BG23" s="129">
        <f>BF23/(K23*I23)</f>
        <v>44.866685087719297</v>
      </c>
    </row>
    <row r="24" spans="1:59" ht="15.75" thickBot="1" x14ac:dyDescent="0.3">
      <c r="A24" s="5" t="s">
        <v>102</v>
      </c>
      <c r="B24" s="4" t="s">
        <v>143</v>
      </c>
      <c r="C24" s="100" t="s">
        <v>147</v>
      </c>
      <c r="D24" s="81">
        <v>126</v>
      </c>
      <c r="E24" s="82">
        <f t="shared" si="25"/>
        <v>140</v>
      </c>
      <c r="F24" s="79"/>
      <c r="H24" s="62" t="s">
        <v>192</v>
      </c>
      <c r="I24" s="153">
        <f t="shared" si="26"/>
        <v>40</v>
      </c>
      <c r="J24" s="113" t="s">
        <v>63</v>
      </c>
      <c r="K24" s="114">
        <v>4</v>
      </c>
      <c r="L24" s="114" t="s">
        <v>78</v>
      </c>
      <c r="M24" s="114" t="s">
        <v>58</v>
      </c>
      <c r="N24" s="121" t="s">
        <v>156</v>
      </c>
      <c r="O24" s="116">
        <f>IF(N24="", "", VLOOKUP(N24, $A$13:$G$16, 7, FALSE))</f>
        <v>7113.333333333333</v>
      </c>
      <c r="P24" s="87" t="s">
        <v>84</v>
      </c>
      <c r="Q24" s="71">
        <f>IF(P24="", "", VLOOKUP(P24, $B$31:$F$35, 5, FALSE))</f>
        <v>1.8133333333333335</v>
      </c>
      <c r="R24" s="116">
        <v>1500</v>
      </c>
      <c r="S24" s="117" t="s">
        <v>89</v>
      </c>
      <c r="T24" s="71">
        <f>IF(S24="","n/a",VLOOKUP(S24,$B$31:$F$35, 5, FALSE))</f>
        <v>0.37333333333333335</v>
      </c>
      <c r="U24" s="97">
        <f t="shared" si="4"/>
        <v>13458.844444444445</v>
      </c>
      <c r="V24" s="87">
        <v>20</v>
      </c>
      <c r="W24" s="71">
        <f t="shared" si="5"/>
        <v>672.9422222222222</v>
      </c>
      <c r="X24" s="98">
        <f t="shared" si="6"/>
        <v>16.823555555555554</v>
      </c>
      <c r="Y24" s="115" t="s">
        <v>59</v>
      </c>
      <c r="Z24" s="87" t="s">
        <v>122</v>
      </c>
      <c r="AA24" s="87">
        <v>4000</v>
      </c>
      <c r="AB24" s="71">
        <f>IF(Y24="No", "", VLOOKUP(Z24, $B$49:$F$52, 5, FALSE))</f>
        <v>2.3066666666666666</v>
      </c>
      <c r="AC24" s="97">
        <f t="shared" si="7"/>
        <v>9226.6666666666661</v>
      </c>
      <c r="AD24" s="87">
        <v>30</v>
      </c>
      <c r="AE24" s="71">
        <f t="shared" si="8"/>
        <v>307.55555555555554</v>
      </c>
      <c r="AF24" s="99">
        <f t="shared" si="9"/>
        <v>7.6888888888888882</v>
      </c>
      <c r="AG24" s="91">
        <f t="shared" si="10"/>
        <v>7.6888888888888882</v>
      </c>
      <c r="AH24" s="115" t="s">
        <v>94</v>
      </c>
      <c r="AI24" s="71">
        <f>IF(AH24="", "", VLOOKUP(AH24, $B$37:$F$46, 5, FALSE))</f>
        <v>189.50666666666666</v>
      </c>
      <c r="AJ24" s="97">
        <f t="shared" si="11"/>
        <v>7580.2666666666664</v>
      </c>
      <c r="AK24" s="87">
        <v>15</v>
      </c>
      <c r="AL24" s="71">
        <f t="shared" si="12"/>
        <v>505.35111111111109</v>
      </c>
      <c r="AM24" s="98">
        <f t="shared" si="13"/>
        <v>12.633777777777777</v>
      </c>
      <c r="AN24" s="115" t="s">
        <v>59</v>
      </c>
      <c r="AO24" s="87" t="s">
        <v>170</v>
      </c>
      <c r="AP24" s="87">
        <v>4000</v>
      </c>
      <c r="AQ24" s="71">
        <f>IF(AN24="No", "", HLOOKUP(AO24, $I$35:$N$36, 2, FALSE))</f>
        <v>2</v>
      </c>
      <c r="AR24" s="97">
        <f t="shared" si="14"/>
        <v>8000</v>
      </c>
      <c r="AS24" s="87">
        <v>20</v>
      </c>
      <c r="AT24" s="71">
        <f t="shared" si="15"/>
        <v>400</v>
      </c>
      <c r="AU24" s="99">
        <f>AT24/$B$9</f>
        <v>10</v>
      </c>
      <c r="AV24" s="91">
        <f t="shared" si="16"/>
        <v>10</v>
      </c>
      <c r="AW24" s="120">
        <f t="shared" si="17"/>
        <v>38265.777777777781</v>
      </c>
      <c r="AX24" s="71">
        <f t="shared" si="18"/>
        <v>956.6444444444445</v>
      </c>
      <c r="AY24" s="71">
        <f t="shared" si="19"/>
        <v>1885.848888888889</v>
      </c>
      <c r="AZ24" s="131">
        <f t="shared" si="20"/>
        <v>47.146222222222221</v>
      </c>
      <c r="BA24" s="127">
        <f t="shared" si="21"/>
        <v>1885.848888888889</v>
      </c>
      <c r="BB24" s="128">
        <f t="shared" si="22"/>
        <v>47.146222222222221</v>
      </c>
      <c r="BC24" s="127">
        <f>IF(J24="Grass",'Pasture-Grass'!$F$47*I24,IF(J24="G-L Mix",'Pasture-Grass-Leg'!$F$45*I24, 'Pasture-Legume'!$F$45*I24))</f>
        <v>5357</v>
      </c>
      <c r="BD24" s="127">
        <f t="shared" si="23"/>
        <v>133.92500000000001</v>
      </c>
      <c r="BE24" s="127">
        <f t="shared" si="24"/>
        <v>181.07122222222222</v>
      </c>
      <c r="BF24" s="127">
        <f>BC24+BA24</f>
        <v>7242.8488888888887</v>
      </c>
      <c r="BG24" s="129">
        <f>BF24/(K24*I24)</f>
        <v>45.267805555555555</v>
      </c>
    </row>
    <row r="25" spans="1:59" ht="15.75" thickBot="1" x14ac:dyDescent="0.3">
      <c r="A25" s="7" t="s">
        <v>78</v>
      </c>
      <c r="B25" s="58" t="s">
        <v>142</v>
      </c>
      <c r="C25" s="101" t="s">
        <v>145</v>
      </c>
      <c r="D25" s="83">
        <v>147</v>
      </c>
      <c r="E25" s="84">
        <f t="shared" si="25"/>
        <v>163.33333333333334</v>
      </c>
      <c r="F25" s="79"/>
      <c r="AB25" s="3"/>
    </row>
    <row r="26" spans="1:59" ht="17.25" customHeight="1" x14ac:dyDescent="0.25">
      <c r="A26" s="75"/>
      <c r="B26" s="75"/>
      <c r="C26" s="102"/>
      <c r="D26" s="79"/>
      <c r="E26" s="79"/>
      <c r="F26" s="79"/>
      <c r="AB26" s="3"/>
    </row>
    <row r="27" spans="1:59" ht="17.25" customHeight="1" thickBot="1" x14ac:dyDescent="0.3">
      <c r="A27" s="75"/>
      <c r="B27" s="75"/>
      <c r="C27" s="102"/>
      <c r="D27" s="79"/>
      <c r="E27" s="79"/>
      <c r="F27" s="79"/>
      <c r="AB27" s="3"/>
    </row>
    <row r="28" spans="1:59" ht="17.25" customHeight="1" thickBot="1" x14ac:dyDescent="0.3">
      <c r="A28" s="147" t="s">
        <v>98</v>
      </c>
      <c r="B28" s="148"/>
      <c r="C28" s="148"/>
      <c r="D28" s="148"/>
      <c r="E28" s="148"/>
      <c r="F28" s="150"/>
      <c r="G28" s="77"/>
      <c r="H28" s="2"/>
      <c r="I28" s="132" t="s">
        <v>193</v>
      </c>
      <c r="J28" s="133"/>
      <c r="K28" s="133"/>
      <c r="L28" s="133"/>
      <c r="M28" s="133"/>
      <c r="N28" s="134"/>
      <c r="O28" s="66"/>
      <c r="P28" s="66"/>
      <c r="Q28" s="2"/>
      <c r="R28" s="2"/>
      <c r="S28" s="2"/>
      <c r="T28" s="2"/>
      <c r="U28" s="66"/>
      <c r="V28" s="66"/>
      <c r="W28" s="2"/>
      <c r="X28" s="2"/>
      <c r="Y28" s="2"/>
      <c r="Z28" s="66"/>
      <c r="AA28" s="2"/>
      <c r="AB28" s="66"/>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9" ht="30" x14ac:dyDescent="0.25">
      <c r="A29" s="103" t="s">
        <v>92</v>
      </c>
      <c r="B29" s="151"/>
      <c r="C29" s="135" t="s">
        <v>90</v>
      </c>
      <c r="D29" s="135"/>
      <c r="E29" s="135"/>
      <c r="F29" s="152"/>
      <c r="G29" s="77"/>
      <c r="H29" s="2"/>
      <c r="I29" s="61" t="s">
        <v>60</v>
      </c>
      <c r="J29" s="59" t="s">
        <v>59</v>
      </c>
      <c r="K29" s="8" t="s">
        <v>58</v>
      </c>
      <c r="L29" s="8"/>
      <c r="M29" s="8"/>
      <c r="N29" s="9"/>
      <c r="O29" s="66"/>
      <c r="P29" s="66"/>
      <c r="Q29" s="2"/>
      <c r="R29" s="2"/>
      <c r="S29" s="2"/>
      <c r="T29" s="2"/>
      <c r="U29" s="66"/>
      <c r="V29" s="66"/>
      <c r="W29" s="2"/>
      <c r="X29" s="2"/>
      <c r="Y29" s="2"/>
      <c r="Z29" s="66"/>
      <c r="AA29" s="2"/>
      <c r="AB29" s="66"/>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9" ht="30" x14ac:dyDescent="0.25">
      <c r="A30" s="104">
        <v>382</v>
      </c>
      <c r="B30" s="105" t="s">
        <v>83</v>
      </c>
      <c r="C30" s="105" t="s">
        <v>85</v>
      </c>
      <c r="D30" s="105" t="s">
        <v>86</v>
      </c>
      <c r="E30" s="105"/>
      <c r="F30" s="106" t="s">
        <v>87</v>
      </c>
      <c r="G30" s="77"/>
      <c r="H30" s="2"/>
      <c r="I30" s="62" t="s">
        <v>61</v>
      </c>
      <c r="J30" s="60" t="s">
        <v>62</v>
      </c>
      <c r="K30" s="4" t="s">
        <v>63</v>
      </c>
      <c r="L30" s="4" t="s">
        <v>180</v>
      </c>
      <c r="M30" s="4"/>
      <c r="N30" s="6"/>
      <c r="O30" s="66"/>
      <c r="P30" s="66"/>
      <c r="Q30" s="2"/>
      <c r="R30" s="2"/>
      <c r="S30" s="2"/>
      <c r="T30" s="2"/>
      <c r="U30" s="66"/>
      <c r="V30" s="66"/>
      <c r="W30" s="2"/>
      <c r="X30" s="2"/>
      <c r="Y30" s="2"/>
      <c r="Z30" s="66"/>
      <c r="AA30" s="2"/>
      <c r="AB30" s="66"/>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row>
    <row r="31" spans="1:59" x14ac:dyDescent="0.25">
      <c r="A31" s="104"/>
      <c r="B31" s="105" t="s">
        <v>84</v>
      </c>
      <c r="C31" s="105">
        <v>1.36</v>
      </c>
      <c r="D31" s="105">
        <v>1.64</v>
      </c>
      <c r="E31" s="105"/>
      <c r="F31" s="106">
        <f>C31/0.75</f>
        <v>1.8133333333333335</v>
      </c>
      <c r="G31" s="77"/>
      <c r="H31" s="2"/>
      <c r="I31" s="62" t="s">
        <v>57</v>
      </c>
      <c r="J31" s="60" t="s">
        <v>65</v>
      </c>
      <c r="K31" s="4" t="s">
        <v>66</v>
      </c>
      <c r="L31" s="4" t="s">
        <v>67</v>
      </c>
      <c r="M31" s="4" t="s">
        <v>68</v>
      </c>
      <c r="N31" s="6"/>
      <c r="O31" s="66"/>
      <c r="P31" s="66"/>
      <c r="Q31" s="2"/>
      <c r="R31" s="2"/>
      <c r="S31" s="2"/>
      <c r="T31" s="2"/>
      <c r="U31" s="66"/>
      <c r="V31" s="66"/>
      <c r="W31" s="2"/>
      <c r="X31" s="2"/>
      <c r="Y31" s="2"/>
      <c r="Z31" s="66"/>
      <c r="AA31" s="2"/>
      <c r="AB31" s="66"/>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59" x14ac:dyDescent="0.25">
      <c r="A32" s="104"/>
      <c r="B32" s="105" t="s">
        <v>88</v>
      </c>
      <c r="C32" s="105">
        <v>0.63</v>
      </c>
      <c r="D32" s="105">
        <v>0.75</v>
      </c>
      <c r="E32" s="105"/>
      <c r="F32" s="106">
        <f t="shared" ref="F32:F50" si="27">C32/0.75</f>
        <v>0.84</v>
      </c>
      <c r="G32" s="77"/>
      <c r="H32" s="2"/>
      <c r="I32" s="62" t="s">
        <v>100</v>
      </c>
      <c r="J32" s="60">
        <v>5</v>
      </c>
      <c r="K32" s="4">
        <v>4</v>
      </c>
      <c r="L32" s="4">
        <v>3</v>
      </c>
      <c r="M32" s="4">
        <v>2</v>
      </c>
      <c r="N32" s="6">
        <v>1</v>
      </c>
      <c r="O32" s="66"/>
      <c r="P32" s="66"/>
      <c r="Q32" s="2"/>
      <c r="R32" s="2"/>
      <c r="S32" s="2"/>
      <c r="T32" s="2"/>
      <c r="U32" s="66"/>
      <c r="V32" s="66"/>
      <c r="W32" s="2"/>
      <c r="X32" s="2"/>
      <c r="Y32" s="2"/>
      <c r="Z32" s="2"/>
      <c r="AA32" s="2"/>
      <c r="AB32" s="66"/>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1:57" x14ac:dyDescent="0.25">
      <c r="A33" s="104"/>
      <c r="B33" s="105" t="s">
        <v>89</v>
      </c>
      <c r="C33" s="105">
        <v>0.28000000000000003</v>
      </c>
      <c r="D33" s="105">
        <v>0.34</v>
      </c>
      <c r="E33" s="105"/>
      <c r="F33" s="106">
        <f t="shared" si="27"/>
        <v>0.37333333333333335</v>
      </c>
      <c r="G33" s="77"/>
      <c r="H33" s="2"/>
      <c r="I33" s="62" t="s">
        <v>77</v>
      </c>
      <c r="J33" s="60" t="s">
        <v>78</v>
      </c>
      <c r="K33" s="4" t="s">
        <v>79</v>
      </c>
      <c r="L33" s="4" t="s">
        <v>80</v>
      </c>
      <c r="M33" s="4" t="s">
        <v>81</v>
      </c>
      <c r="N33" s="6" t="s">
        <v>82</v>
      </c>
      <c r="O33" s="66"/>
      <c r="P33" s="66"/>
      <c r="Q33" s="2"/>
      <c r="R33" s="2"/>
      <c r="S33" s="2"/>
      <c r="T33" s="2"/>
      <c r="U33" s="66"/>
      <c r="V33" s="66"/>
      <c r="W33" s="2"/>
      <c r="X33" s="2"/>
      <c r="Y33" s="2"/>
      <c r="Z33" s="2"/>
      <c r="AA33" s="2"/>
      <c r="AB33" s="66"/>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1:57" x14ac:dyDescent="0.25">
      <c r="A34" s="104"/>
      <c r="B34" s="105"/>
      <c r="C34" s="105"/>
      <c r="D34" s="105"/>
      <c r="E34" s="105"/>
      <c r="F34" s="106"/>
      <c r="G34" s="77"/>
      <c r="H34" s="2"/>
      <c r="I34" s="62" t="s">
        <v>69</v>
      </c>
      <c r="J34" s="60" t="s">
        <v>70</v>
      </c>
      <c r="K34" s="4" t="s">
        <v>73</v>
      </c>
      <c r="L34" s="4" t="s">
        <v>74</v>
      </c>
      <c r="M34" s="4" t="s">
        <v>156</v>
      </c>
      <c r="N34" s="6" t="s">
        <v>72</v>
      </c>
      <c r="O34" s="66"/>
      <c r="P34" s="66"/>
      <c r="Q34" s="2"/>
      <c r="R34" s="2"/>
      <c r="S34" s="2"/>
      <c r="T34" s="2"/>
      <c r="U34" s="66"/>
      <c r="V34" s="66"/>
      <c r="W34" s="2"/>
      <c r="X34" s="2"/>
      <c r="Y34" s="2"/>
      <c r="Z34" s="2"/>
      <c r="AA34" s="2"/>
      <c r="AB34" s="66"/>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57" ht="75" x14ac:dyDescent="0.25">
      <c r="A35" s="104"/>
      <c r="B35" s="105"/>
      <c r="C35" s="105"/>
      <c r="D35" s="105"/>
      <c r="E35" s="105"/>
      <c r="F35" s="106"/>
      <c r="G35" s="77"/>
      <c r="H35" s="2"/>
      <c r="I35" s="63" t="s">
        <v>167</v>
      </c>
      <c r="J35" s="65" t="s">
        <v>168</v>
      </c>
      <c r="K35" s="65" t="s">
        <v>170</v>
      </c>
      <c r="L35" s="65" t="s">
        <v>169</v>
      </c>
      <c r="M35" s="65" t="s">
        <v>171</v>
      </c>
      <c r="N35" s="130" t="s">
        <v>172</v>
      </c>
      <c r="O35" s="66"/>
      <c r="P35" s="66"/>
      <c r="Q35" s="2"/>
      <c r="R35" s="2"/>
      <c r="S35" s="2"/>
      <c r="T35" s="2"/>
      <c r="U35" s="66"/>
      <c r="V35" s="66"/>
      <c r="W35" s="2"/>
      <c r="X35" s="2"/>
      <c r="Y35" s="2"/>
      <c r="Z35" s="2"/>
      <c r="AA35" s="2"/>
      <c r="AB35" s="66"/>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row>
    <row r="36" spans="1:57" s="2" customFormat="1" ht="15.75" customHeight="1" thickBot="1" x14ac:dyDescent="0.3">
      <c r="A36" s="104">
        <v>512</v>
      </c>
      <c r="B36" s="105" t="s">
        <v>91</v>
      </c>
      <c r="C36" s="105"/>
      <c r="D36" s="105"/>
      <c r="E36" s="105"/>
      <c r="F36" s="106"/>
      <c r="G36" s="77"/>
      <c r="I36" s="70" t="s">
        <v>174</v>
      </c>
      <c r="J36" s="149">
        <v>1</v>
      </c>
      <c r="K36" s="149">
        <v>2</v>
      </c>
      <c r="L36" s="149">
        <v>3</v>
      </c>
      <c r="M36" s="149">
        <v>4</v>
      </c>
      <c r="N36" s="67">
        <v>5</v>
      </c>
      <c r="O36" s="78"/>
      <c r="P36" s="78"/>
      <c r="U36" s="66"/>
      <c r="V36" s="66"/>
      <c r="Y36" s="107"/>
      <c r="AB36" s="66"/>
    </row>
    <row r="37" spans="1:57" s="2" customFormat="1" ht="30" x14ac:dyDescent="0.25">
      <c r="A37" s="104"/>
      <c r="B37" s="105" t="s">
        <v>93</v>
      </c>
      <c r="C37" s="105">
        <v>77.959999999999994</v>
      </c>
      <c r="D37" s="105">
        <v>93.55</v>
      </c>
      <c r="E37" s="105"/>
      <c r="F37" s="106">
        <f t="shared" si="27"/>
        <v>103.94666666666666</v>
      </c>
      <c r="G37" s="77"/>
      <c r="J37" s="66"/>
      <c r="K37" s="77"/>
      <c r="L37" s="66"/>
      <c r="M37" s="66"/>
      <c r="N37" s="66"/>
      <c r="O37" s="66"/>
      <c r="P37" s="66"/>
      <c r="U37" s="66"/>
      <c r="V37" s="66"/>
      <c r="Y37" s="107"/>
      <c r="AB37" s="66"/>
    </row>
    <row r="38" spans="1:57" s="2" customFormat="1" ht="30" x14ac:dyDescent="0.25">
      <c r="A38" s="104"/>
      <c r="B38" s="105" t="s">
        <v>94</v>
      </c>
      <c r="C38" s="105">
        <v>142.13</v>
      </c>
      <c r="D38" s="105">
        <v>170.55</v>
      </c>
      <c r="E38" s="105"/>
      <c r="F38" s="106">
        <f t="shared" si="27"/>
        <v>189.50666666666666</v>
      </c>
      <c r="G38" s="77"/>
      <c r="J38" s="66"/>
      <c r="K38" s="77"/>
      <c r="L38" s="66"/>
      <c r="M38" s="66"/>
      <c r="N38" s="66"/>
      <c r="O38" s="66"/>
      <c r="P38" s="66"/>
      <c r="U38" s="66"/>
      <c r="V38" s="66"/>
      <c r="AB38" s="66"/>
    </row>
    <row r="39" spans="1:57" s="2" customFormat="1" x14ac:dyDescent="0.25">
      <c r="A39" s="104"/>
      <c r="B39" s="105" t="s">
        <v>95</v>
      </c>
      <c r="C39" s="105">
        <v>126.68</v>
      </c>
      <c r="D39" s="105">
        <v>152.02000000000001</v>
      </c>
      <c r="E39" s="105"/>
      <c r="F39" s="106">
        <f t="shared" si="27"/>
        <v>168.90666666666667</v>
      </c>
      <c r="G39" s="77"/>
      <c r="J39" s="66"/>
      <c r="K39" s="77"/>
      <c r="L39" s="66"/>
      <c r="M39" s="66"/>
      <c r="N39" s="66"/>
      <c r="O39" s="66"/>
      <c r="P39" s="66"/>
      <c r="U39" s="66"/>
      <c r="V39" s="66"/>
      <c r="AB39" s="66"/>
    </row>
    <row r="40" spans="1:57" s="2" customFormat="1" x14ac:dyDescent="0.25">
      <c r="A40" s="104"/>
      <c r="B40" s="105" t="s">
        <v>96</v>
      </c>
      <c r="C40" s="105">
        <v>67.94</v>
      </c>
      <c r="D40" s="105">
        <v>81.53</v>
      </c>
      <c r="E40" s="105"/>
      <c r="F40" s="106">
        <f t="shared" si="27"/>
        <v>90.586666666666659</v>
      </c>
      <c r="G40" s="77"/>
      <c r="J40" s="66"/>
      <c r="K40" s="77"/>
      <c r="L40" s="66"/>
      <c r="M40" s="66"/>
      <c r="N40" s="66"/>
      <c r="O40" s="66"/>
      <c r="P40" s="66"/>
      <c r="U40" s="66"/>
      <c r="V40" s="66"/>
      <c r="AB40" s="66"/>
    </row>
    <row r="41" spans="1:57" s="2" customFormat="1" x14ac:dyDescent="0.25">
      <c r="A41" s="104"/>
      <c r="B41" s="105" t="s">
        <v>97</v>
      </c>
      <c r="C41" s="105">
        <v>94.18</v>
      </c>
      <c r="D41" s="105">
        <v>113.02</v>
      </c>
      <c r="E41" s="105"/>
      <c r="F41" s="106">
        <f t="shared" si="27"/>
        <v>125.57333333333334</v>
      </c>
      <c r="G41" s="77"/>
      <c r="J41" s="66"/>
      <c r="K41" s="77"/>
      <c r="L41" s="66"/>
      <c r="M41" s="66"/>
      <c r="N41" s="66"/>
      <c r="O41" s="66"/>
      <c r="P41" s="66"/>
      <c r="U41" s="66"/>
      <c r="V41" s="66"/>
      <c r="AB41" s="66"/>
    </row>
    <row r="42" spans="1:57" s="2" customFormat="1" x14ac:dyDescent="0.25">
      <c r="A42" s="104"/>
      <c r="B42" s="105"/>
      <c r="C42" s="105"/>
      <c r="D42" s="105"/>
      <c r="E42" s="105"/>
      <c r="F42" s="106"/>
      <c r="G42" s="77"/>
      <c r="J42" s="66"/>
      <c r="K42" s="77"/>
      <c r="L42" s="66"/>
      <c r="M42" s="66"/>
      <c r="N42" s="66"/>
      <c r="O42" s="66"/>
      <c r="P42" s="66"/>
      <c r="U42" s="66"/>
      <c r="V42" s="66"/>
      <c r="AB42" s="66"/>
    </row>
    <row r="43" spans="1:57" s="2" customFormat="1" x14ac:dyDescent="0.25">
      <c r="A43" s="104"/>
      <c r="B43" s="105"/>
      <c r="C43" s="105"/>
      <c r="D43" s="105"/>
      <c r="E43" s="105"/>
      <c r="F43" s="106"/>
      <c r="G43" s="77"/>
      <c r="J43" s="66"/>
      <c r="K43" s="77"/>
      <c r="L43" s="66"/>
      <c r="M43" s="66"/>
      <c r="N43" s="66"/>
      <c r="O43" s="66"/>
      <c r="P43" s="66"/>
      <c r="U43" s="66"/>
      <c r="V43" s="66"/>
      <c r="AB43" s="66"/>
    </row>
    <row r="44" spans="1:57" s="2" customFormat="1" x14ac:dyDescent="0.25">
      <c r="A44" s="104"/>
      <c r="B44" s="105"/>
      <c r="C44" s="105"/>
      <c r="D44" s="105"/>
      <c r="E44" s="105"/>
      <c r="F44" s="106"/>
      <c r="G44" s="77"/>
      <c r="J44" s="66"/>
      <c r="K44" s="77"/>
      <c r="L44" s="66"/>
      <c r="M44" s="66"/>
      <c r="N44" s="66"/>
      <c r="O44" s="66"/>
      <c r="P44" s="66"/>
      <c r="U44" s="66"/>
      <c r="V44" s="66"/>
      <c r="AB44" s="66"/>
    </row>
    <row r="45" spans="1:57" s="2" customFormat="1" x14ac:dyDescent="0.25">
      <c r="A45" s="104"/>
      <c r="B45" s="105"/>
      <c r="C45" s="105"/>
      <c r="D45" s="105"/>
      <c r="E45" s="105"/>
      <c r="F45" s="106"/>
      <c r="G45" s="77"/>
      <c r="J45" s="66"/>
      <c r="K45" s="77"/>
      <c r="L45" s="66"/>
      <c r="M45" s="66"/>
      <c r="N45" s="66"/>
      <c r="O45" s="66"/>
      <c r="P45" s="66"/>
      <c r="U45" s="66"/>
      <c r="V45" s="66"/>
      <c r="AB45" s="66"/>
    </row>
    <row r="46" spans="1:57" s="2" customFormat="1" x14ac:dyDescent="0.25">
      <c r="A46" s="104"/>
      <c r="B46" s="105"/>
      <c r="C46" s="105"/>
      <c r="D46" s="105"/>
      <c r="E46" s="105"/>
      <c r="F46" s="106"/>
      <c r="G46" s="77"/>
      <c r="J46" s="66"/>
      <c r="K46" s="77"/>
      <c r="L46" s="66"/>
      <c r="M46" s="66"/>
      <c r="N46" s="66"/>
      <c r="O46" s="66"/>
      <c r="P46" s="66"/>
      <c r="U46" s="66"/>
      <c r="V46" s="66"/>
      <c r="AB46" s="66"/>
    </row>
    <row r="47" spans="1:57" s="2" customFormat="1" x14ac:dyDescent="0.25">
      <c r="A47" s="104"/>
      <c r="B47" s="105"/>
      <c r="C47" s="105"/>
      <c r="D47" s="105"/>
      <c r="E47" s="105"/>
      <c r="F47" s="106"/>
      <c r="G47" s="77"/>
      <c r="J47" s="66"/>
      <c r="K47" s="77"/>
      <c r="L47" s="66"/>
      <c r="M47" s="66"/>
      <c r="N47" s="66"/>
      <c r="O47" s="66"/>
      <c r="P47" s="66"/>
      <c r="U47" s="66"/>
      <c r="V47" s="66"/>
      <c r="AB47" s="66"/>
    </row>
    <row r="48" spans="1:57" s="2" customFormat="1" x14ac:dyDescent="0.25">
      <c r="A48" s="104">
        <v>516</v>
      </c>
      <c r="B48" s="105" t="s">
        <v>99</v>
      </c>
      <c r="C48" s="105"/>
      <c r="D48" s="105"/>
      <c r="E48" s="105"/>
      <c r="F48" s="106"/>
      <c r="G48" s="77"/>
      <c r="J48" s="66"/>
      <c r="K48" s="77"/>
      <c r="L48" s="66"/>
      <c r="M48" s="66"/>
      <c r="N48" s="66"/>
      <c r="O48" s="66"/>
      <c r="P48" s="66"/>
      <c r="U48" s="66"/>
      <c r="V48" s="66"/>
      <c r="AB48" s="66"/>
    </row>
    <row r="49" spans="1:59" s="2" customFormat="1" x14ac:dyDescent="0.25">
      <c r="A49" s="104"/>
      <c r="B49" s="105" t="s">
        <v>121</v>
      </c>
      <c r="C49" s="105">
        <v>0.88</v>
      </c>
      <c r="D49" s="105">
        <v>1.06</v>
      </c>
      <c r="E49" s="105"/>
      <c r="F49" s="106">
        <f t="shared" si="27"/>
        <v>1.1733333333333333</v>
      </c>
      <c r="G49" s="77"/>
      <c r="J49" s="66"/>
      <c r="K49" s="77"/>
      <c r="L49" s="66"/>
      <c r="M49" s="66"/>
      <c r="N49" s="66"/>
      <c r="O49" s="66"/>
      <c r="P49" s="66"/>
      <c r="U49" s="66"/>
      <c r="V49" s="66"/>
      <c r="AB49" s="66"/>
    </row>
    <row r="50" spans="1:59" s="2" customFormat="1" x14ac:dyDescent="0.25">
      <c r="A50" s="104"/>
      <c r="B50" s="105" t="s">
        <v>122</v>
      </c>
      <c r="C50" s="105">
        <v>1.73</v>
      </c>
      <c r="D50" s="105">
        <v>2.0699999999999998</v>
      </c>
      <c r="E50" s="105"/>
      <c r="F50" s="106">
        <f t="shared" si="27"/>
        <v>2.3066666666666666</v>
      </c>
      <c r="G50" s="77"/>
      <c r="J50" s="66"/>
      <c r="K50" s="77"/>
      <c r="L50" s="66"/>
      <c r="M50" s="66"/>
      <c r="N50" s="66"/>
      <c r="O50" s="66"/>
      <c r="P50" s="66"/>
      <c r="U50" s="66"/>
      <c r="V50" s="66"/>
      <c r="AB50" s="66"/>
    </row>
    <row r="51" spans="1:59" s="2" customFormat="1" x14ac:dyDescent="0.25">
      <c r="A51" s="104"/>
      <c r="B51" s="105"/>
      <c r="C51" s="105"/>
      <c r="D51" s="105"/>
      <c r="E51" s="105"/>
      <c r="F51" s="106"/>
      <c r="G51" s="77"/>
      <c r="J51" s="66"/>
      <c r="K51" s="77"/>
      <c r="L51" s="66"/>
      <c r="M51" s="66"/>
      <c r="N51" s="66"/>
      <c r="O51" s="66"/>
      <c r="P51" s="66"/>
      <c r="U51" s="66"/>
      <c r="V51" s="66"/>
      <c r="AB51" s="66"/>
    </row>
    <row r="52" spans="1:59" s="2" customFormat="1" x14ac:dyDescent="0.25">
      <c r="A52" s="104"/>
      <c r="B52" s="105"/>
      <c r="C52" s="105"/>
      <c r="D52" s="105"/>
      <c r="E52" s="105"/>
      <c r="F52" s="106"/>
      <c r="G52" s="77"/>
      <c r="J52" s="66"/>
      <c r="K52" s="77"/>
      <c r="L52" s="66"/>
      <c r="M52" s="66"/>
      <c r="N52" s="66"/>
      <c r="O52" s="66"/>
      <c r="P52" s="66"/>
      <c r="U52" s="66"/>
      <c r="V52" s="66"/>
      <c r="AB52" s="66"/>
    </row>
    <row r="53" spans="1:59" s="2" customFormat="1" x14ac:dyDescent="0.25">
      <c r="A53" s="104"/>
      <c r="B53" s="105"/>
      <c r="C53" s="105"/>
      <c r="D53" s="105"/>
      <c r="E53" s="105"/>
      <c r="F53" s="106"/>
      <c r="G53" s="77"/>
      <c r="J53" s="66"/>
      <c r="K53" s="77"/>
      <c r="L53" s="66"/>
      <c r="M53" s="66"/>
      <c r="N53" s="66"/>
      <c r="O53" s="66"/>
      <c r="P53" s="66"/>
      <c r="U53" s="66"/>
      <c r="V53" s="66"/>
      <c r="AB53" s="66"/>
    </row>
    <row r="54" spans="1:59" s="2" customFormat="1" x14ac:dyDescent="0.25">
      <c r="A54" s="104"/>
      <c r="B54" s="105"/>
      <c r="C54" s="105"/>
      <c r="D54" s="105"/>
      <c r="E54" s="105"/>
      <c r="F54" s="106"/>
      <c r="G54" s="77"/>
      <c r="J54" s="66"/>
      <c r="K54" s="77"/>
      <c r="L54" s="66"/>
      <c r="M54" s="66"/>
      <c r="N54" s="66"/>
      <c r="O54" s="66"/>
      <c r="P54" s="66"/>
      <c r="U54" s="66"/>
      <c r="V54" s="66"/>
      <c r="AB54" s="66"/>
    </row>
    <row r="55" spans="1:59" s="2" customFormat="1" x14ac:dyDescent="0.25">
      <c r="A55" s="104"/>
      <c r="B55" s="105"/>
      <c r="C55" s="105"/>
      <c r="D55" s="105"/>
      <c r="E55" s="105"/>
      <c r="F55" s="106"/>
      <c r="G55" s="77"/>
      <c r="I55" s="77"/>
      <c r="L55" s="66"/>
      <c r="M55" s="77"/>
      <c r="N55" s="66"/>
      <c r="O55" s="66"/>
      <c r="P55" s="66"/>
      <c r="U55" s="66"/>
      <c r="V55" s="66"/>
      <c r="AB55" s="66"/>
    </row>
    <row r="56" spans="1:59" s="2" customFormat="1" ht="15.75" thickBot="1" x14ac:dyDescent="0.3">
      <c r="A56" s="108"/>
      <c r="B56" s="109"/>
      <c r="C56" s="109"/>
      <c r="D56" s="109"/>
      <c r="E56" s="109"/>
      <c r="F56" s="110"/>
      <c r="G56" s="77"/>
      <c r="I56" s="77"/>
      <c r="L56" s="66"/>
      <c r="M56" s="77"/>
      <c r="N56" s="66"/>
      <c r="O56" s="66"/>
      <c r="P56" s="66"/>
      <c r="U56" s="66"/>
      <c r="V56" s="66"/>
      <c r="AB56" s="66"/>
    </row>
    <row r="57" spans="1:59" s="2" customFormat="1" x14ac:dyDescent="0.25">
      <c r="I57" s="77"/>
      <c r="L57" s="66"/>
      <c r="M57" s="77"/>
      <c r="N57" s="66"/>
      <c r="O57" s="66"/>
      <c r="P57" s="66"/>
      <c r="Q57" s="66"/>
      <c r="R57" s="66"/>
      <c r="W57" s="66"/>
      <c r="X57" s="66"/>
      <c r="AD57" s="66"/>
    </row>
    <row r="58" spans="1:59" s="2" customFormat="1" x14ac:dyDescent="0.25">
      <c r="A58" s="10" t="s">
        <v>198</v>
      </c>
      <c r="I58" s="77"/>
      <c r="L58" s="66"/>
      <c r="M58" s="77"/>
      <c r="N58" s="66"/>
      <c r="O58" s="66"/>
      <c r="P58" s="66"/>
      <c r="Q58" s="66"/>
      <c r="R58" s="66"/>
      <c r="W58" s="66"/>
      <c r="X58" s="66"/>
      <c r="AD58" s="66"/>
    </row>
    <row r="59" spans="1:59" s="2" customFormat="1" x14ac:dyDescent="0.25">
      <c r="I59" s="11"/>
      <c r="J59"/>
      <c r="K59"/>
      <c r="L59" s="3"/>
      <c r="M59" s="11"/>
      <c r="N59" s="3"/>
      <c r="O59" s="66"/>
      <c r="P59" s="66"/>
      <c r="Q59" s="66"/>
      <c r="R59" s="66"/>
      <c r="W59" s="66"/>
      <c r="X59" s="66"/>
      <c r="AD59" s="66"/>
    </row>
    <row r="60" spans="1:59" s="2" customFormat="1" x14ac:dyDescent="0.25">
      <c r="I60" s="11"/>
      <c r="J60"/>
      <c r="K60"/>
      <c r="L60" s="3"/>
      <c r="M60" s="11"/>
      <c r="N60" s="3"/>
      <c r="O60" s="66"/>
      <c r="P60" s="66"/>
      <c r="Q60" s="66"/>
      <c r="R60" s="66"/>
      <c r="W60" s="66"/>
      <c r="X60" s="66"/>
      <c r="AD60" s="66"/>
    </row>
    <row r="61" spans="1:59" s="2" customFormat="1" x14ac:dyDescent="0.25">
      <c r="B61"/>
      <c r="C61" s="10"/>
      <c r="D61"/>
      <c r="E61"/>
      <c r="F61"/>
      <c r="G61"/>
      <c r="H61"/>
      <c r="I61" s="11"/>
      <c r="J61"/>
      <c r="K61"/>
      <c r="L61" s="3"/>
      <c r="M61" s="11"/>
      <c r="N61" s="3"/>
      <c r="O61" s="3"/>
      <c r="P61" s="3"/>
      <c r="Q61" s="3"/>
      <c r="R61" s="3"/>
      <c r="S61"/>
      <c r="T61"/>
      <c r="U61"/>
      <c r="V61"/>
      <c r="W61" s="3"/>
      <c r="X61" s="3"/>
      <c r="Y61"/>
      <c r="Z61"/>
      <c r="AA61"/>
      <c r="AB61"/>
      <c r="AC61"/>
      <c r="AD61" s="3"/>
      <c r="AE61"/>
      <c r="AF61"/>
      <c r="AG61"/>
      <c r="AH61"/>
      <c r="AI61"/>
      <c r="AJ61"/>
      <c r="AK61"/>
      <c r="AL61"/>
      <c r="AM61"/>
      <c r="AN61"/>
      <c r="AO61"/>
      <c r="AP61"/>
      <c r="AQ61"/>
      <c r="AR61"/>
      <c r="AS61"/>
      <c r="AT61"/>
      <c r="AU61"/>
      <c r="AV61"/>
      <c r="AW61"/>
      <c r="AX61"/>
      <c r="AY61"/>
      <c r="AZ61"/>
      <c r="BA61"/>
      <c r="BB61"/>
      <c r="BC61"/>
      <c r="BD61"/>
      <c r="BE61"/>
      <c r="BF61"/>
      <c r="BG61"/>
    </row>
    <row r="62" spans="1:59" s="2" customFormat="1" x14ac:dyDescent="0.25">
      <c r="B62"/>
      <c r="C62" s="10"/>
      <c r="D62"/>
      <c r="E62"/>
      <c r="F62"/>
      <c r="G62"/>
      <c r="H62"/>
      <c r="I62" s="11"/>
      <c r="J62"/>
      <c r="K62"/>
      <c r="L62" s="3"/>
      <c r="M62" s="11"/>
      <c r="N62" s="3"/>
      <c r="O62" s="3"/>
      <c r="P62" s="3"/>
      <c r="Q62" s="3"/>
      <c r="R62" s="3"/>
      <c r="S62"/>
      <c r="T62"/>
      <c r="U62"/>
      <c r="V62"/>
      <c r="W62" s="3"/>
      <c r="X62" s="3"/>
      <c r="Y62"/>
      <c r="Z62"/>
      <c r="AA62"/>
      <c r="AB62"/>
      <c r="AC62"/>
      <c r="AD62" s="3"/>
      <c r="AE62"/>
      <c r="AF62"/>
      <c r="AG62"/>
      <c r="AH62"/>
      <c r="AI62"/>
      <c r="AJ62"/>
      <c r="AK62"/>
      <c r="AL62"/>
      <c r="AM62"/>
      <c r="AN62"/>
      <c r="AO62"/>
      <c r="AP62"/>
      <c r="AQ62"/>
      <c r="AR62"/>
      <c r="AS62"/>
      <c r="AT62"/>
      <c r="AU62"/>
      <c r="AV62"/>
      <c r="AW62"/>
      <c r="AX62"/>
      <c r="AY62"/>
      <c r="AZ62"/>
      <c r="BA62"/>
      <c r="BB62"/>
      <c r="BC62"/>
      <c r="BD62"/>
      <c r="BE62"/>
      <c r="BF62"/>
      <c r="BG62"/>
    </row>
    <row r="63" spans="1:59" s="2" customFormat="1" x14ac:dyDescent="0.25">
      <c r="B63"/>
      <c r="C63" s="10"/>
      <c r="D63"/>
      <c r="E63"/>
      <c r="F63"/>
      <c r="G63"/>
      <c r="H63"/>
      <c r="I63" s="11"/>
      <c r="J63"/>
      <c r="K63"/>
      <c r="L63" s="3"/>
      <c r="M63" s="11"/>
      <c r="N63" s="3"/>
      <c r="O63" s="3"/>
      <c r="P63" s="3"/>
      <c r="Q63" s="3"/>
      <c r="R63" s="3"/>
      <c r="S63"/>
      <c r="T63"/>
      <c r="U63"/>
      <c r="V63"/>
      <c r="W63" s="3"/>
      <c r="X63" s="3"/>
      <c r="Y63"/>
      <c r="Z63"/>
      <c r="AA63"/>
      <c r="AB63"/>
      <c r="AC63"/>
      <c r="AD63" s="3"/>
      <c r="AE63"/>
      <c r="AF63"/>
      <c r="AG63"/>
      <c r="AH63"/>
      <c r="AI63"/>
      <c r="AJ63"/>
      <c r="AK63"/>
      <c r="AL63"/>
      <c r="AM63"/>
      <c r="AN63"/>
      <c r="AO63"/>
      <c r="AP63"/>
      <c r="AQ63"/>
      <c r="AR63"/>
      <c r="AS63"/>
      <c r="AT63"/>
      <c r="AU63"/>
      <c r="AV63"/>
      <c r="AW63"/>
      <c r="AX63"/>
      <c r="AY63"/>
      <c r="AZ63"/>
      <c r="BA63"/>
      <c r="BB63"/>
      <c r="BC63"/>
      <c r="BD63"/>
      <c r="BE63"/>
      <c r="BF63"/>
      <c r="BG63"/>
    </row>
    <row r="64" spans="1:59" s="2" customFormat="1" x14ac:dyDescent="0.25">
      <c r="B64"/>
      <c r="C64" s="10"/>
      <c r="D64"/>
      <c r="E64"/>
      <c r="F64"/>
      <c r="G64"/>
      <c r="H64"/>
      <c r="I64" s="11"/>
      <c r="J64"/>
      <c r="K64"/>
      <c r="L64" s="3"/>
      <c r="M64" s="11"/>
      <c r="N64" s="3"/>
      <c r="O64" s="3"/>
      <c r="P64" s="3"/>
      <c r="Q64" s="3"/>
      <c r="R64" s="3"/>
      <c r="S64"/>
      <c r="T64"/>
      <c r="U64"/>
      <c r="V64"/>
      <c r="W64" s="3"/>
      <c r="X64" s="3"/>
      <c r="Y64"/>
      <c r="Z64"/>
      <c r="AA64"/>
      <c r="AB64"/>
      <c r="AC64"/>
      <c r="AD64" s="3"/>
      <c r="AE64"/>
      <c r="AF64"/>
      <c r="AG64"/>
      <c r="AH64"/>
      <c r="AI64"/>
      <c r="AJ64"/>
      <c r="AK64"/>
      <c r="AL64"/>
      <c r="AM64"/>
      <c r="AN64"/>
      <c r="AO64"/>
      <c r="AP64"/>
      <c r="AQ64"/>
      <c r="AR64"/>
      <c r="AS64"/>
      <c r="AT64"/>
      <c r="AU64"/>
      <c r="AV64"/>
      <c r="AW64"/>
      <c r="AX64"/>
      <c r="AY64"/>
      <c r="AZ64"/>
      <c r="BA64"/>
      <c r="BB64"/>
      <c r="BC64"/>
      <c r="BD64"/>
      <c r="BE64"/>
      <c r="BF64"/>
      <c r="BG64"/>
    </row>
    <row r="65" spans="2:59" s="2" customFormat="1" x14ac:dyDescent="0.25">
      <c r="B65"/>
      <c r="C65" s="10"/>
      <c r="D65"/>
      <c r="E65"/>
      <c r="F65"/>
      <c r="G65"/>
      <c r="H65"/>
      <c r="I65" s="11"/>
      <c r="J65"/>
      <c r="K65"/>
      <c r="L65" s="3"/>
      <c r="M65" s="11"/>
      <c r="N65" s="3"/>
      <c r="O65" s="3"/>
      <c r="P65" s="3"/>
      <c r="Q65" s="3"/>
      <c r="R65" s="3"/>
      <c r="S65"/>
      <c r="T65"/>
      <c r="U65"/>
      <c r="V65"/>
      <c r="W65" s="3"/>
      <c r="X65" s="3"/>
      <c r="Y65"/>
      <c r="Z65"/>
      <c r="AA65"/>
      <c r="AB65"/>
      <c r="AC65"/>
      <c r="AD65" s="3"/>
      <c r="AE65"/>
      <c r="AF65"/>
      <c r="AG65"/>
      <c r="AH65"/>
      <c r="AI65"/>
      <c r="AJ65"/>
      <c r="AK65"/>
      <c r="AL65"/>
      <c r="AM65"/>
      <c r="AN65"/>
      <c r="AO65"/>
      <c r="AP65"/>
      <c r="AQ65"/>
      <c r="AR65"/>
      <c r="AS65"/>
      <c r="AT65"/>
      <c r="AU65"/>
      <c r="AV65"/>
      <c r="AW65"/>
      <c r="AX65"/>
      <c r="AY65"/>
      <c r="AZ65"/>
      <c r="BA65"/>
      <c r="BB65"/>
      <c r="BC65"/>
      <c r="BD65"/>
      <c r="BE65"/>
      <c r="BF65"/>
      <c r="BG65"/>
    </row>
    <row r="66" spans="2:59" s="2" customFormat="1" x14ac:dyDescent="0.25">
      <c r="B66"/>
      <c r="C66" s="10"/>
      <c r="D66"/>
      <c r="E66"/>
      <c r="F66"/>
      <c r="G66"/>
      <c r="H66"/>
      <c r="I66" s="11"/>
      <c r="J66"/>
      <c r="K66"/>
      <c r="L66" s="3"/>
      <c r="M66" s="11"/>
      <c r="N66" s="3"/>
      <c r="O66" s="3"/>
      <c r="P66" s="3"/>
      <c r="Q66" s="3"/>
      <c r="R66" s="3"/>
      <c r="S66"/>
      <c r="T66"/>
      <c r="U66"/>
      <c r="V66"/>
      <c r="W66" s="3"/>
      <c r="X66" s="3"/>
      <c r="Y66"/>
      <c r="Z66"/>
      <c r="AA66"/>
      <c r="AB66"/>
      <c r="AC66"/>
      <c r="AD66" s="3"/>
      <c r="AE66"/>
      <c r="AF66"/>
      <c r="AG66"/>
      <c r="AH66"/>
      <c r="AI66"/>
      <c r="AJ66"/>
      <c r="AK66"/>
      <c r="AL66"/>
      <c r="AM66"/>
      <c r="AN66"/>
      <c r="AO66"/>
      <c r="AP66"/>
      <c r="AQ66"/>
      <c r="AR66"/>
      <c r="AS66"/>
      <c r="AT66"/>
      <c r="AU66"/>
      <c r="AV66"/>
      <c r="AW66"/>
      <c r="AX66"/>
      <c r="AY66"/>
      <c r="AZ66"/>
      <c r="BA66"/>
      <c r="BB66"/>
      <c r="BC66"/>
      <c r="BD66"/>
      <c r="BE66"/>
      <c r="BF66"/>
      <c r="BG66"/>
    </row>
    <row r="67" spans="2:59" s="2" customFormat="1" x14ac:dyDescent="0.25">
      <c r="B67"/>
      <c r="C67" s="10"/>
      <c r="D67"/>
      <c r="E67"/>
      <c r="F67"/>
      <c r="G67"/>
      <c r="H67"/>
      <c r="I67" s="11"/>
      <c r="J67"/>
      <c r="K67"/>
      <c r="L67" s="3"/>
      <c r="M67" s="11"/>
      <c r="N67" s="3"/>
      <c r="O67" s="3"/>
      <c r="P67" s="3"/>
      <c r="Q67" s="3"/>
      <c r="R67" s="3"/>
      <c r="S67"/>
      <c r="T67"/>
      <c r="U67"/>
      <c r="V67"/>
      <c r="W67" s="3"/>
      <c r="X67" s="3"/>
      <c r="Y67"/>
      <c r="Z67"/>
      <c r="AA67"/>
      <c r="AB67"/>
      <c r="AC67"/>
      <c r="AD67" s="3"/>
      <c r="AE67"/>
      <c r="AF67"/>
      <c r="AG67"/>
      <c r="AH67"/>
      <c r="AI67"/>
      <c r="AJ67"/>
      <c r="AK67"/>
      <c r="AL67"/>
      <c r="AM67"/>
      <c r="AN67"/>
      <c r="AO67"/>
      <c r="AP67"/>
      <c r="AQ67"/>
      <c r="AR67"/>
      <c r="AS67"/>
      <c r="AT67"/>
      <c r="AU67"/>
      <c r="AV67"/>
      <c r="AW67"/>
      <c r="AX67"/>
      <c r="AY67"/>
      <c r="AZ67"/>
      <c r="BA67"/>
      <c r="BB67"/>
      <c r="BC67"/>
      <c r="BD67"/>
      <c r="BE67"/>
      <c r="BF67"/>
      <c r="BG67"/>
    </row>
    <row r="68" spans="2:59" s="2" customFormat="1" x14ac:dyDescent="0.25">
      <c r="B68"/>
      <c r="C68" s="10"/>
      <c r="D68"/>
      <c r="E68"/>
      <c r="F68"/>
      <c r="G68"/>
      <c r="H68"/>
      <c r="I68" s="11"/>
      <c r="J68"/>
      <c r="K68"/>
      <c r="L68" s="3"/>
      <c r="M68" s="11"/>
      <c r="N68" s="3"/>
      <c r="O68" s="3"/>
      <c r="P68" s="3"/>
      <c r="Q68" s="3"/>
      <c r="R68" s="3"/>
      <c r="S68"/>
      <c r="T68"/>
      <c r="U68"/>
      <c r="V68"/>
      <c r="W68" s="3"/>
      <c r="X68" s="3"/>
      <c r="Y68"/>
      <c r="Z68"/>
      <c r="AA68"/>
      <c r="AB68"/>
      <c r="AC68"/>
      <c r="AD68" s="3"/>
      <c r="AE68"/>
      <c r="AF68"/>
      <c r="AG68"/>
      <c r="AH68"/>
      <c r="AI68"/>
      <c r="AJ68"/>
      <c r="AK68"/>
      <c r="AL68"/>
      <c r="AM68"/>
      <c r="AN68"/>
      <c r="AO68"/>
      <c r="AP68"/>
      <c r="AQ68"/>
      <c r="AR68"/>
      <c r="AS68"/>
      <c r="AT68"/>
      <c r="AU68"/>
      <c r="AV68"/>
      <c r="AW68"/>
      <c r="AX68"/>
      <c r="AY68"/>
      <c r="AZ68"/>
      <c r="BA68"/>
      <c r="BB68"/>
      <c r="BC68"/>
      <c r="BD68"/>
      <c r="BE68"/>
      <c r="BF68"/>
      <c r="BG68"/>
    </row>
  </sheetData>
  <mergeCells count="7">
    <mergeCell ref="BA19:BG19"/>
    <mergeCell ref="C29:F29"/>
    <mergeCell ref="A19:E19"/>
    <mergeCell ref="M19:AZ19"/>
    <mergeCell ref="H19:L19"/>
    <mergeCell ref="A28:F28"/>
    <mergeCell ref="I28:N28"/>
  </mergeCells>
  <phoneticPr fontId="14" type="noConversion"/>
  <dataValidations count="10">
    <dataValidation type="list" allowBlank="1" showInputMessage="1" showErrorMessage="1" sqref="K21:K24" xr:uid="{079A4455-1597-4055-89EF-1362D38DCEA1}">
      <formula1>$J$32:$N$32</formula1>
    </dataValidation>
    <dataValidation type="list" allowBlank="1" showInputMessage="1" showErrorMessage="1" sqref="L21:L24" xr:uid="{0B591852-301D-47B7-8DC2-0BD798CB23DA}">
      <formula1>$A$21:$A$25</formula1>
    </dataValidation>
    <dataValidation type="list" allowBlank="1" showInputMessage="1" showErrorMessage="1" sqref="M21:M24" xr:uid="{54555748-9602-410D-B600-AF8EFF922C08}">
      <formula1>$J$29:$K$29</formula1>
    </dataValidation>
    <dataValidation type="list" allowBlank="1" showInputMessage="1" showErrorMessage="1" sqref="J21:J24" xr:uid="{BBB838A7-CBCC-4435-9308-7D10D88325EB}">
      <formula1>$J$30:$L$30</formula1>
    </dataValidation>
    <dataValidation type="list" allowBlank="1" showInputMessage="1" showErrorMessage="1" sqref="N21:N24" xr:uid="{AA1FAC7F-7268-4D3E-9787-123E8672E885}">
      <formula1>$A$13:$A$16</formula1>
    </dataValidation>
    <dataValidation type="list" allowBlank="1" showInputMessage="1" showErrorMessage="1" sqref="S21:S24 P21:P24" xr:uid="{C1C21850-129F-4717-AE74-8AEB5EBC86E7}">
      <formula1>$B$31:$B$35</formula1>
    </dataValidation>
    <dataValidation type="list" allowBlank="1" showInputMessage="1" showErrorMessage="1" sqref="Z21:Z24" xr:uid="{EBC7985F-2868-4A6B-9FDF-899811E49D3A}">
      <formula1>$B$49:$B$52</formula1>
    </dataValidation>
    <dataValidation type="list" allowBlank="1" showInputMessage="1" showErrorMessage="1" sqref="AH21:AH24" xr:uid="{5D25784C-1627-43DE-A7AC-B7B506128D1D}">
      <formula1>$B$37:$B$46</formula1>
    </dataValidation>
    <dataValidation type="list" allowBlank="1" showInputMessage="1" showErrorMessage="1" sqref="AO21:AO24" xr:uid="{48EA80EE-9579-457B-B321-E32BE7AB9BBB}">
      <formula1>$J$35:$N$35</formula1>
    </dataValidation>
    <dataValidation type="list" allowBlank="1" showInputMessage="1" showErrorMessage="1" sqref="Y21:Y24 AN21:AN24" xr:uid="{2B4EEDD6-3990-4158-8213-BBDB13150337}">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9B273-4C49-45A4-97B0-558CD9E05723}">
  <sheetPr>
    <pageSetUpPr autoPageBreaks="0" fitToPage="1"/>
  </sheetPr>
  <dimension ref="A1:K55"/>
  <sheetViews>
    <sheetView showGridLines="0" topLeftCell="A13" workbookViewId="0">
      <selection activeCell="F10" sqref="F10"/>
    </sheetView>
  </sheetViews>
  <sheetFormatPr defaultColWidth="9.140625" defaultRowHeight="12.75" x14ac:dyDescent="0.2"/>
  <cols>
    <col min="1" max="1" width="24.85546875" style="24" customWidth="1"/>
    <col min="2" max="2" width="9.42578125" style="16" customWidth="1"/>
    <col min="3" max="3" width="7.42578125" style="16" customWidth="1"/>
    <col min="4" max="7" width="13.85546875" style="16" customWidth="1"/>
    <col min="8" max="16384" width="9.140625" style="16"/>
  </cols>
  <sheetData>
    <row r="1" spans="1:9" s="13" customFormat="1" ht="28.5" customHeight="1" thickBot="1" x14ac:dyDescent="0.3">
      <c r="A1" s="12" t="s">
        <v>7</v>
      </c>
    </row>
    <row r="2" spans="1:9" ht="15.75" thickTop="1" x14ac:dyDescent="0.25">
      <c r="A2" s="14" t="s">
        <v>8</v>
      </c>
      <c r="B2" s="15"/>
    </row>
    <row r="3" spans="1:9" ht="12.75" customHeight="1" x14ac:dyDescent="0.2">
      <c r="A3" s="17" t="s">
        <v>9</v>
      </c>
      <c r="B3" s="1"/>
      <c r="C3" s="1"/>
      <c r="D3" s="1"/>
      <c r="E3" s="1"/>
      <c r="F3" s="1"/>
      <c r="G3" s="1"/>
      <c r="H3" s="18"/>
      <c r="I3" s="18"/>
    </row>
    <row r="4" spans="1:9" x14ac:dyDescent="0.2">
      <c r="A4" s="19" t="s">
        <v>10</v>
      </c>
      <c r="B4" s="1"/>
      <c r="C4" s="1"/>
      <c r="D4" s="1"/>
      <c r="E4" s="1"/>
      <c r="F4" s="1"/>
      <c r="G4" s="1"/>
      <c r="H4" s="18"/>
      <c r="I4" s="18"/>
    </row>
    <row r="5" spans="1:9" x14ac:dyDescent="0.2">
      <c r="A5" s="19" t="s">
        <v>11</v>
      </c>
      <c r="B5" s="20"/>
      <c r="C5" s="20"/>
      <c r="D5" s="20"/>
      <c r="E5" s="20"/>
      <c r="F5" s="20"/>
      <c r="G5" s="20"/>
      <c r="H5" s="18"/>
      <c r="I5" s="18"/>
    </row>
    <row r="6" spans="1:9" x14ac:dyDescent="0.2">
      <c r="A6" s="21" t="s">
        <v>12</v>
      </c>
      <c r="B6" s="22"/>
      <c r="C6" s="23"/>
    </row>
    <row r="8" spans="1:9" x14ac:dyDescent="0.2">
      <c r="A8" s="25" t="s">
        <v>1</v>
      </c>
      <c r="G8" s="26"/>
    </row>
    <row r="9" spans="1:9" x14ac:dyDescent="0.2">
      <c r="A9" s="27" t="s">
        <v>13</v>
      </c>
      <c r="B9" s="28"/>
      <c r="C9" s="29"/>
      <c r="E9" s="30" t="s">
        <v>14</v>
      </c>
      <c r="F9" s="31">
        <v>20</v>
      </c>
    </row>
    <row r="10" spans="1:9" ht="9" customHeight="1" x14ac:dyDescent="0.2">
      <c r="A10" s="32"/>
      <c r="B10" s="33"/>
      <c r="C10" s="34"/>
    </row>
    <row r="11" spans="1:9" x14ac:dyDescent="0.2">
      <c r="A11" s="25"/>
      <c r="B11" s="15"/>
      <c r="E11" s="30" t="s">
        <v>15</v>
      </c>
      <c r="F11" s="15" t="s">
        <v>16</v>
      </c>
      <c r="G11" s="30" t="s">
        <v>17</v>
      </c>
    </row>
    <row r="12" spans="1:9" x14ac:dyDescent="0.2">
      <c r="A12" s="25" t="s">
        <v>18</v>
      </c>
      <c r="D12" s="35" t="s">
        <v>6</v>
      </c>
      <c r="E12" s="35" t="s">
        <v>19</v>
      </c>
      <c r="F12" s="36" t="s">
        <v>5</v>
      </c>
      <c r="G12" s="36" t="s">
        <v>20</v>
      </c>
      <c r="H12" s="37" t="s">
        <v>21</v>
      </c>
    </row>
    <row r="13" spans="1:9" x14ac:dyDescent="0.2">
      <c r="A13" s="38" t="s">
        <v>22</v>
      </c>
      <c r="B13" s="15"/>
      <c r="D13" s="39">
        <v>1.9</v>
      </c>
      <c r="E13" s="39">
        <v>1.6</v>
      </c>
      <c r="F13" s="40">
        <f t="shared" ref="F13:F18" si="0">D13+E13</f>
        <v>3.5</v>
      </c>
      <c r="G13" s="41">
        <f t="shared" ref="G13:G18" si="1">$F$9*F13</f>
        <v>70</v>
      </c>
    </row>
    <row r="14" spans="1:9" x14ac:dyDescent="0.2">
      <c r="A14" s="38" t="s">
        <v>23</v>
      </c>
      <c r="D14" s="39">
        <v>2.2000000000000002</v>
      </c>
      <c r="E14" s="39">
        <v>2</v>
      </c>
      <c r="F14" s="40">
        <f t="shared" si="0"/>
        <v>4.2</v>
      </c>
      <c r="G14" s="41">
        <f t="shared" si="1"/>
        <v>84</v>
      </c>
    </row>
    <row r="15" spans="1:9" x14ac:dyDescent="0.2">
      <c r="A15" s="38" t="s">
        <v>24</v>
      </c>
      <c r="D15" s="39">
        <v>6.5</v>
      </c>
      <c r="E15" s="39">
        <v>4.2</v>
      </c>
      <c r="F15" s="40">
        <f t="shared" si="0"/>
        <v>10.7</v>
      </c>
      <c r="G15" s="41">
        <f t="shared" si="1"/>
        <v>214</v>
      </c>
    </row>
    <row r="16" spans="1:9" x14ac:dyDescent="0.2">
      <c r="A16" s="38" t="s">
        <v>0</v>
      </c>
      <c r="D16" s="39">
        <v>0</v>
      </c>
      <c r="E16" s="39">
        <v>0</v>
      </c>
      <c r="F16" s="40">
        <f t="shared" si="0"/>
        <v>0</v>
      </c>
      <c r="G16" s="41">
        <f t="shared" si="1"/>
        <v>0</v>
      </c>
    </row>
    <row r="17" spans="1:11" x14ac:dyDescent="0.2">
      <c r="A17" s="38" t="s">
        <v>0</v>
      </c>
      <c r="D17" s="39">
        <v>0</v>
      </c>
      <c r="E17" s="39">
        <v>0</v>
      </c>
      <c r="F17" s="40">
        <f t="shared" si="0"/>
        <v>0</v>
      </c>
      <c r="G17" s="41">
        <f t="shared" si="1"/>
        <v>0</v>
      </c>
    </row>
    <row r="18" spans="1:11" x14ac:dyDescent="0.2">
      <c r="A18" s="38" t="s">
        <v>0</v>
      </c>
      <c r="D18" s="39">
        <v>0</v>
      </c>
      <c r="E18" s="39">
        <v>0</v>
      </c>
      <c r="F18" s="42">
        <f t="shared" si="0"/>
        <v>0</v>
      </c>
      <c r="G18" s="43">
        <f t="shared" si="1"/>
        <v>0</v>
      </c>
    </row>
    <row r="19" spans="1:11" x14ac:dyDescent="0.2">
      <c r="A19" s="25" t="s">
        <v>25</v>
      </c>
      <c r="B19" s="15"/>
      <c r="D19" s="40">
        <f>SUM(D13:D18)</f>
        <v>10.6</v>
      </c>
      <c r="E19" s="40">
        <f>SUM(E13:E18)</f>
        <v>7.8000000000000007</v>
      </c>
      <c r="F19" s="44">
        <f>SUM(F13:F18)</f>
        <v>18.399999999999999</v>
      </c>
      <c r="G19" s="45">
        <f>SUM(G13:G18)</f>
        <v>368</v>
      </c>
    </row>
    <row r="20" spans="1:11" x14ac:dyDescent="0.2">
      <c r="A20" s="25" t="s">
        <v>26</v>
      </c>
      <c r="B20" s="15"/>
      <c r="D20" s="41">
        <f>$F$9*D19</f>
        <v>212</v>
      </c>
      <c r="E20" s="41">
        <f>$F$9*E19</f>
        <v>156</v>
      </c>
      <c r="F20" s="45">
        <f>$F$9*F19</f>
        <v>368</v>
      </c>
      <c r="G20" s="46" t="s">
        <v>27</v>
      </c>
    </row>
    <row r="21" spans="1:11" ht="6" customHeight="1" x14ac:dyDescent="0.2">
      <c r="A21" s="25"/>
      <c r="B21" s="15"/>
      <c r="D21" s="41"/>
      <c r="E21" s="41"/>
      <c r="F21" s="41"/>
      <c r="G21" s="41"/>
    </row>
    <row r="22" spans="1:11" x14ac:dyDescent="0.2">
      <c r="A22" s="25" t="s">
        <v>28</v>
      </c>
      <c r="B22" s="15"/>
      <c r="G22" s="41" t="s">
        <v>29</v>
      </c>
      <c r="H22" s="37" t="s">
        <v>30</v>
      </c>
    </row>
    <row r="23" spans="1:11" x14ac:dyDescent="0.2">
      <c r="A23" s="24" t="s">
        <v>31</v>
      </c>
      <c r="D23" s="46" t="s">
        <v>27</v>
      </c>
      <c r="E23" s="40">
        <f>C24*C25</f>
        <v>27.200000000000003</v>
      </c>
      <c r="F23" s="40">
        <f>E23</f>
        <v>27.200000000000003</v>
      </c>
      <c r="G23" s="41">
        <f>$F$9*F23</f>
        <v>544</v>
      </c>
    </row>
    <row r="24" spans="1:11" x14ac:dyDescent="0.2">
      <c r="A24" s="47" t="s">
        <v>32</v>
      </c>
      <c r="B24" s="37"/>
      <c r="C24" s="48">
        <v>0.34</v>
      </c>
      <c r="G24" s="41" t="s">
        <v>29</v>
      </c>
    </row>
    <row r="25" spans="1:11" x14ac:dyDescent="0.2">
      <c r="A25" s="47" t="s">
        <v>33</v>
      </c>
      <c r="B25" s="37"/>
      <c r="C25" s="49">
        <v>80</v>
      </c>
      <c r="G25" s="41" t="s">
        <v>34</v>
      </c>
    </row>
    <row r="26" spans="1:11" x14ac:dyDescent="0.2">
      <c r="A26" s="24" t="s">
        <v>35</v>
      </c>
      <c r="D26" s="46" t="s">
        <v>27</v>
      </c>
      <c r="E26" s="40">
        <f>C27*C28</f>
        <v>10.200000000000001</v>
      </c>
      <c r="F26" s="40">
        <f>E26</f>
        <v>10.200000000000001</v>
      </c>
      <c r="G26" s="41">
        <f>$F$9*F26</f>
        <v>204.00000000000003</v>
      </c>
    </row>
    <row r="27" spans="1:11" x14ac:dyDescent="0.2">
      <c r="A27" s="47" t="s">
        <v>32</v>
      </c>
      <c r="B27" s="37"/>
      <c r="C27" s="48">
        <v>0.34</v>
      </c>
      <c r="G27" s="41" t="s">
        <v>29</v>
      </c>
    </row>
    <row r="28" spans="1:11" x14ac:dyDescent="0.2">
      <c r="A28" s="47" t="s">
        <v>33</v>
      </c>
      <c r="B28" s="37"/>
      <c r="C28" s="50">
        <v>30</v>
      </c>
      <c r="G28" s="41" t="s">
        <v>34</v>
      </c>
    </row>
    <row r="29" spans="1:11" x14ac:dyDescent="0.2">
      <c r="A29" s="24" t="s">
        <v>36</v>
      </c>
      <c r="D29" s="46" t="s">
        <v>27</v>
      </c>
      <c r="E29" s="42">
        <f>C30*C31</f>
        <v>0</v>
      </c>
      <c r="F29" s="40">
        <f>E29</f>
        <v>0</v>
      </c>
      <c r="G29" s="41">
        <f>$F$9*F29</f>
        <v>0</v>
      </c>
    </row>
    <row r="30" spans="1:11" x14ac:dyDescent="0.2">
      <c r="A30" s="47" t="s">
        <v>32</v>
      </c>
      <c r="B30" s="37"/>
      <c r="C30" s="48">
        <v>0.31</v>
      </c>
      <c r="G30" s="41" t="s">
        <v>29</v>
      </c>
    </row>
    <row r="31" spans="1:11" x14ac:dyDescent="0.2">
      <c r="A31" s="47" t="s">
        <v>33</v>
      </c>
      <c r="B31" s="37"/>
      <c r="C31" s="50">
        <v>0</v>
      </c>
      <c r="G31" s="41" t="s">
        <v>29</v>
      </c>
      <c r="K31" s="51"/>
    </row>
    <row r="32" spans="1:11" x14ac:dyDescent="0.2">
      <c r="A32" s="24" t="s">
        <v>37</v>
      </c>
      <c r="D32" s="46" t="s">
        <v>27</v>
      </c>
      <c r="E32" s="39">
        <v>2.62</v>
      </c>
      <c r="F32" s="42">
        <f>E32</f>
        <v>2.62</v>
      </c>
      <c r="G32" s="43">
        <f>$F$9*F32</f>
        <v>52.400000000000006</v>
      </c>
    </row>
    <row r="33" spans="1:7" x14ac:dyDescent="0.2">
      <c r="A33" s="25" t="s">
        <v>38</v>
      </c>
      <c r="B33" s="15"/>
      <c r="D33" s="46" t="s">
        <v>27</v>
      </c>
      <c r="E33" s="40">
        <f>E23+E26+E29+E32</f>
        <v>40.020000000000003</v>
      </c>
      <c r="F33" s="44">
        <f>F23+F26+F29+F32</f>
        <v>40.020000000000003</v>
      </c>
      <c r="G33" s="45">
        <f>G23+G26+G29+G32</f>
        <v>800.4</v>
      </c>
    </row>
    <row r="34" spans="1:7" ht="6" customHeight="1" x14ac:dyDescent="0.2">
      <c r="G34" s="41" t="s">
        <v>29</v>
      </c>
    </row>
    <row r="35" spans="1:7" x14ac:dyDescent="0.2">
      <c r="A35" s="25" t="s">
        <v>3</v>
      </c>
      <c r="B35" s="15"/>
      <c r="G35" s="41" t="s">
        <v>29</v>
      </c>
    </row>
    <row r="36" spans="1:7" x14ac:dyDescent="0.2">
      <c r="A36" s="24" t="s">
        <v>39</v>
      </c>
      <c r="D36" s="40">
        <f>C37*C38</f>
        <v>7.375</v>
      </c>
      <c r="E36" s="46" t="s">
        <v>27</v>
      </c>
      <c r="F36" s="40">
        <f>C37*C38</f>
        <v>7.375</v>
      </c>
      <c r="G36" s="41">
        <f>$F$9*F36</f>
        <v>147.5</v>
      </c>
    </row>
    <row r="37" spans="1:7" x14ac:dyDescent="0.2">
      <c r="A37" s="47" t="s">
        <v>40</v>
      </c>
      <c r="B37" s="37"/>
      <c r="C37" s="49">
        <v>0.5</v>
      </c>
      <c r="F37" s="16" t="s">
        <v>29</v>
      </c>
      <c r="G37" s="41" t="s">
        <v>29</v>
      </c>
    </row>
    <row r="38" spans="1:7" x14ac:dyDescent="0.2">
      <c r="A38" s="47" t="s">
        <v>41</v>
      </c>
      <c r="B38" s="37"/>
      <c r="C38" s="48">
        <v>14.75</v>
      </c>
      <c r="G38" s="41" t="s">
        <v>29</v>
      </c>
    </row>
    <row r="39" spans="1:7" x14ac:dyDescent="0.2">
      <c r="A39" s="24" t="s">
        <v>42</v>
      </c>
      <c r="C39" s="52"/>
      <c r="D39" s="40">
        <f>C40*C41</f>
        <v>14.75</v>
      </c>
      <c r="E39" s="46" t="s">
        <v>27</v>
      </c>
      <c r="F39" s="40">
        <f>C40*C41</f>
        <v>14.75</v>
      </c>
      <c r="G39" s="41">
        <f>$F$9*F39</f>
        <v>295</v>
      </c>
    </row>
    <row r="40" spans="1:7" x14ac:dyDescent="0.2">
      <c r="A40" s="47" t="s">
        <v>40</v>
      </c>
      <c r="B40" s="37"/>
      <c r="C40" s="49">
        <v>1</v>
      </c>
      <c r="E40" s="53" t="s">
        <v>29</v>
      </c>
      <c r="G40" s="41" t="s">
        <v>29</v>
      </c>
    </row>
    <row r="41" spans="1:7" x14ac:dyDescent="0.2">
      <c r="A41" s="47" t="s">
        <v>41</v>
      </c>
      <c r="B41" s="37"/>
      <c r="C41" s="48">
        <v>14.75</v>
      </c>
      <c r="G41" s="41" t="s">
        <v>29</v>
      </c>
    </row>
    <row r="42" spans="1:7" x14ac:dyDescent="0.2">
      <c r="A42" s="25" t="s">
        <v>38</v>
      </c>
      <c r="B42" s="15"/>
      <c r="D42" s="40">
        <f>D36+D39</f>
        <v>22.125</v>
      </c>
      <c r="E42" s="46" t="s">
        <v>27</v>
      </c>
      <c r="F42" s="44">
        <f>F36+F39</f>
        <v>22.125</v>
      </c>
      <c r="G42" s="45">
        <f>G36+G39</f>
        <v>442.5</v>
      </c>
    </row>
    <row r="43" spans="1:7" ht="6" customHeight="1" x14ac:dyDescent="0.2">
      <c r="A43" s="25"/>
      <c r="B43" s="15"/>
      <c r="G43" s="41" t="s">
        <v>29</v>
      </c>
    </row>
    <row r="44" spans="1:7" x14ac:dyDescent="0.2">
      <c r="A44" s="25" t="s">
        <v>4</v>
      </c>
      <c r="B44" s="15"/>
      <c r="G44" s="41" t="s">
        <v>29</v>
      </c>
    </row>
    <row r="45" spans="1:7" x14ac:dyDescent="0.2">
      <c r="A45" s="24" t="s">
        <v>43</v>
      </c>
      <c r="D45" s="39">
        <v>51</v>
      </c>
      <c r="E45" s="46" t="s">
        <v>27</v>
      </c>
      <c r="F45" s="40">
        <f>D45</f>
        <v>51</v>
      </c>
      <c r="G45" s="41">
        <f>$F$9*F45</f>
        <v>1020</v>
      </c>
    </row>
    <row r="46" spans="1:7" x14ac:dyDescent="0.2">
      <c r="F46" s="35" t="s">
        <v>44</v>
      </c>
      <c r="G46" s="35" t="s">
        <v>44</v>
      </c>
    </row>
    <row r="47" spans="1:7" x14ac:dyDescent="0.2">
      <c r="A47" s="25" t="s">
        <v>45</v>
      </c>
      <c r="B47" s="15"/>
      <c r="D47" s="40">
        <f>D19+D42+D45</f>
        <v>83.724999999999994</v>
      </c>
      <c r="E47" s="40">
        <f>E19+E33</f>
        <v>47.820000000000007</v>
      </c>
      <c r="F47" s="44">
        <f>F19+F33+F42+F45</f>
        <v>131.54500000000002</v>
      </c>
      <c r="G47" s="45">
        <f>G19+G33+G42+G45</f>
        <v>2630.9</v>
      </c>
    </row>
    <row r="48" spans="1:7" x14ac:dyDescent="0.2">
      <c r="A48" s="25" t="s">
        <v>46</v>
      </c>
      <c r="B48" s="15"/>
      <c r="D48" s="41">
        <f>$F$9*D47</f>
        <v>1674.5</v>
      </c>
      <c r="E48" s="41">
        <f>$F$9*E47</f>
        <v>956.40000000000009</v>
      </c>
      <c r="F48" s="45">
        <f>$F$9*F47</f>
        <v>2630.9000000000005</v>
      </c>
      <c r="G48" s="46" t="s">
        <v>27</v>
      </c>
    </row>
    <row r="49" spans="1:7" x14ac:dyDescent="0.2">
      <c r="A49" s="25"/>
      <c r="B49" s="15"/>
      <c r="D49" s="41"/>
      <c r="E49" s="41"/>
      <c r="F49" s="41"/>
      <c r="G49" s="46"/>
    </row>
    <row r="50" spans="1:7" x14ac:dyDescent="0.2">
      <c r="B50" s="15"/>
      <c r="D50" s="41"/>
      <c r="E50" s="41"/>
      <c r="F50" s="41"/>
      <c r="G50" s="46"/>
    </row>
    <row r="51" spans="1:7" x14ac:dyDescent="0.2">
      <c r="A51" s="24" t="s">
        <v>47</v>
      </c>
      <c r="B51" s="15"/>
      <c r="C51" s="15"/>
    </row>
    <row r="52" spans="1:7" x14ac:dyDescent="0.2">
      <c r="A52" s="17" t="s">
        <v>48</v>
      </c>
    </row>
    <row r="53" spans="1:7" x14ac:dyDescent="0.2">
      <c r="A53" s="19" t="s">
        <v>49</v>
      </c>
    </row>
    <row r="54" spans="1:7" x14ac:dyDescent="0.2">
      <c r="A54" s="54">
        <f ca="1">TODAY()</f>
        <v>44683</v>
      </c>
    </row>
    <row r="55" spans="1:7" x14ac:dyDescent="0.2">
      <c r="A55" s="55" t="s">
        <v>50</v>
      </c>
    </row>
  </sheetData>
  <sheetProtection sheet="1" objects="1" scenarios="1"/>
  <hyperlinks>
    <hyperlink ref="A3" r:id="rId1" display="Crop Production Cost Budgets has more information on the cost and returns for growing a corn crop after a previous crop of corn." xr:uid="{3A24A872-52CB-4BFB-B650-F277CA341133}"/>
    <hyperlink ref="A52" r:id="rId2" xr:uid="{542B4F97-88BB-4A39-A17E-57397ED54CA7}"/>
  </hyperlinks>
  <pageMargins left="0.75" right="0.75" top="0.75" bottom="0.75" header="0.5" footer="0.5"/>
  <pageSetup scale="96" orientation="portrait" horizontalDpi="300" verticalDpi="300" r:id="rId3"/>
  <headerFooter alignWithMargins="0">
    <oddHeader>&amp;LIowa State University Extension and Outreach&amp;RAg Decision Maker File A1-20</oddHeader>
    <oddFooter>&amp;Lhttp://www.extension.iastate.edu/agdm/crops/xls/a1-20maintgpimprovgrass_tbl9.xlsx</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DC18F-2912-44E8-93EB-DB5822CEDC53}">
  <sheetPr>
    <pageSetUpPr fitToPage="1"/>
  </sheetPr>
  <dimension ref="A1:I53"/>
  <sheetViews>
    <sheetView showGridLines="0" workbookViewId="0">
      <selection activeCell="M31" sqref="M31"/>
    </sheetView>
  </sheetViews>
  <sheetFormatPr defaultColWidth="9.140625" defaultRowHeight="12.75" x14ac:dyDescent="0.2"/>
  <cols>
    <col min="1" max="1" width="25.85546875" style="24" customWidth="1"/>
    <col min="2" max="2" width="9.42578125" style="16" customWidth="1"/>
    <col min="3" max="3" width="7.42578125" style="16" customWidth="1"/>
    <col min="4" max="7" width="13.42578125" style="16" customWidth="1"/>
    <col min="8" max="8" width="3.42578125" style="16" customWidth="1"/>
    <col min="9" max="16384" width="9.140625" style="16"/>
  </cols>
  <sheetData>
    <row r="1" spans="1:9" s="13" customFormat="1" ht="26.25" customHeight="1" thickBot="1" x14ac:dyDescent="0.3">
      <c r="A1" s="12" t="s">
        <v>51</v>
      </c>
    </row>
    <row r="2" spans="1:9" ht="15.75" thickTop="1" x14ac:dyDescent="0.25">
      <c r="A2" s="14" t="s">
        <v>8</v>
      </c>
      <c r="B2" s="15"/>
    </row>
    <row r="3" spans="1:9" ht="12.75" customHeight="1" x14ac:dyDescent="0.2">
      <c r="A3" s="17" t="s">
        <v>52</v>
      </c>
      <c r="B3" s="18"/>
      <c r="C3" s="18"/>
      <c r="D3" s="18"/>
      <c r="E3" s="18"/>
      <c r="F3" s="18"/>
      <c r="G3" s="18"/>
      <c r="H3" s="18"/>
      <c r="I3" s="18"/>
    </row>
    <row r="4" spans="1:9" ht="12.75" customHeight="1" x14ac:dyDescent="0.2">
      <c r="A4" s="19" t="s">
        <v>53</v>
      </c>
      <c r="B4" s="1"/>
      <c r="C4" s="1"/>
      <c r="D4" s="1"/>
      <c r="E4" s="1"/>
      <c r="F4" s="1"/>
      <c r="G4" s="1"/>
      <c r="H4" s="18"/>
      <c r="I4" s="18"/>
    </row>
    <row r="5" spans="1:9" x14ac:dyDescent="0.2">
      <c r="A5" s="19" t="s">
        <v>54</v>
      </c>
      <c r="B5" s="1"/>
      <c r="C5" s="1"/>
      <c r="D5" s="1"/>
      <c r="E5" s="1"/>
      <c r="F5" s="1"/>
      <c r="G5" s="1"/>
      <c r="H5" s="18"/>
      <c r="I5" s="18"/>
    </row>
    <row r="6" spans="1:9" x14ac:dyDescent="0.2">
      <c r="A6" s="21" t="s">
        <v>12</v>
      </c>
      <c r="B6" s="22"/>
      <c r="C6" s="23"/>
    </row>
    <row r="7" spans="1:9" ht="9" customHeight="1" x14ac:dyDescent="0.2"/>
    <row r="8" spans="1:9" x14ac:dyDescent="0.2">
      <c r="A8" s="25" t="s">
        <v>1</v>
      </c>
      <c r="E8" s="30"/>
      <c r="G8" s="26"/>
    </row>
    <row r="9" spans="1:9" x14ac:dyDescent="0.2">
      <c r="A9" s="27" t="s">
        <v>13</v>
      </c>
      <c r="B9" s="28"/>
      <c r="C9" s="29"/>
      <c r="E9" s="30" t="s">
        <v>14</v>
      </c>
      <c r="F9" s="31">
        <v>1</v>
      </c>
    </row>
    <row r="10" spans="1:9" ht="9" customHeight="1" x14ac:dyDescent="0.2">
      <c r="A10" s="32"/>
      <c r="B10" s="33"/>
      <c r="C10" s="34"/>
    </row>
    <row r="11" spans="1:9" x14ac:dyDescent="0.2">
      <c r="A11" s="56" t="s">
        <v>29</v>
      </c>
      <c r="B11" s="53"/>
      <c r="E11" s="30" t="s">
        <v>15</v>
      </c>
      <c r="F11" s="15" t="s">
        <v>16</v>
      </c>
      <c r="G11" s="30" t="s">
        <v>17</v>
      </c>
    </row>
    <row r="12" spans="1:9" x14ac:dyDescent="0.2">
      <c r="A12" s="25" t="s">
        <v>18</v>
      </c>
      <c r="D12" s="35" t="s">
        <v>6</v>
      </c>
      <c r="E12" s="35" t="s">
        <v>19</v>
      </c>
      <c r="F12" s="36" t="s">
        <v>5</v>
      </c>
      <c r="G12" s="36" t="s">
        <v>20</v>
      </c>
      <c r="H12" s="37" t="s">
        <v>55</v>
      </c>
    </row>
    <row r="13" spans="1:9" x14ac:dyDescent="0.2">
      <c r="A13" s="38" t="s">
        <v>22</v>
      </c>
      <c r="B13" s="15"/>
      <c r="D13" s="39">
        <v>1.9</v>
      </c>
      <c r="E13" s="39">
        <v>1.6</v>
      </c>
      <c r="F13" s="40">
        <f>D13+E13</f>
        <v>3.5</v>
      </c>
      <c r="G13" s="41">
        <f>$F$9*F13</f>
        <v>3.5</v>
      </c>
    </row>
    <row r="14" spans="1:9" x14ac:dyDescent="0.2">
      <c r="A14" s="38" t="s">
        <v>24</v>
      </c>
      <c r="D14" s="39">
        <v>6.5</v>
      </c>
      <c r="E14" s="39">
        <v>4.2</v>
      </c>
      <c r="F14" s="40">
        <f>D14+E14</f>
        <v>10.7</v>
      </c>
      <c r="G14" s="41">
        <f>$F$9*F14</f>
        <v>10.7</v>
      </c>
    </row>
    <row r="15" spans="1:9" x14ac:dyDescent="0.2">
      <c r="A15" s="38" t="s">
        <v>0</v>
      </c>
      <c r="D15" s="39">
        <v>0</v>
      </c>
      <c r="E15" s="39">
        <v>0</v>
      </c>
      <c r="F15" s="40">
        <f>D15+E15</f>
        <v>0</v>
      </c>
      <c r="G15" s="41">
        <f>$F$9*F15</f>
        <v>0</v>
      </c>
    </row>
    <row r="16" spans="1:9" x14ac:dyDescent="0.2">
      <c r="A16" s="38" t="s">
        <v>0</v>
      </c>
      <c r="D16" s="39">
        <v>0</v>
      </c>
      <c r="E16" s="39">
        <v>0</v>
      </c>
      <c r="F16" s="40">
        <f>D16+E16</f>
        <v>0</v>
      </c>
      <c r="G16" s="41">
        <f>$F$9*F16</f>
        <v>0</v>
      </c>
    </row>
    <row r="17" spans="1:8" x14ac:dyDescent="0.2">
      <c r="A17" s="38" t="s">
        <v>0</v>
      </c>
      <c r="D17" s="39">
        <v>0</v>
      </c>
      <c r="E17" s="39">
        <v>0</v>
      </c>
      <c r="F17" s="42">
        <f>D17+E17</f>
        <v>0</v>
      </c>
      <c r="G17" s="42">
        <f>$F$9*F17</f>
        <v>0</v>
      </c>
    </row>
    <row r="18" spans="1:8" x14ac:dyDescent="0.2">
      <c r="A18" s="25" t="s">
        <v>25</v>
      </c>
      <c r="B18" s="15"/>
      <c r="D18" s="40">
        <f>SUM(D13:D17)</f>
        <v>8.4</v>
      </c>
      <c r="E18" s="40">
        <f>SUM(E13:E17)</f>
        <v>5.8000000000000007</v>
      </c>
      <c r="F18" s="44">
        <f>SUM(F13:F17)</f>
        <v>14.2</v>
      </c>
      <c r="G18" s="45">
        <f>SUM(G13:G17)</f>
        <v>14.2</v>
      </c>
    </row>
    <row r="19" spans="1:8" x14ac:dyDescent="0.2">
      <c r="A19" s="25" t="s">
        <v>26</v>
      </c>
      <c r="B19" s="15"/>
      <c r="D19" s="41">
        <f>$F$9*D18</f>
        <v>8.4</v>
      </c>
      <c r="E19" s="41">
        <f>$F$9*E18</f>
        <v>5.8000000000000007</v>
      </c>
      <c r="F19" s="45">
        <f>$F$9*F18</f>
        <v>14.2</v>
      </c>
      <c r="G19" s="46" t="s">
        <v>27</v>
      </c>
    </row>
    <row r="20" spans="1:8" ht="6" customHeight="1" x14ac:dyDescent="0.2">
      <c r="D20" s="41"/>
      <c r="E20" s="41"/>
      <c r="F20" s="41"/>
      <c r="G20" s="41"/>
    </row>
    <row r="21" spans="1:8" x14ac:dyDescent="0.2">
      <c r="A21" s="25" t="s">
        <v>28</v>
      </c>
      <c r="B21" s="15"/>
      <c r="G21" s="41" t="s">
        <v>29</v>
      </c>
      <c r="H21" s="37" t="s">
        <v>30</v>
      </c>
    </row>
    <row r="22" spans="1:8" x14ac:dyDescent="0.2">
      <c r="A22" s="24" t="s">
        <v>31</v>
      </c>
      <c r="D22" s="46" t="s">
        <v>27</v>
      </c>
      <c r="E22" s="40">
        <f>C23*C24</f>
        <v>0</v>
      </c>
      <c r="F22" s="40">
        <f>E22</f>
        <v>0</v>
      </c>
      <c r="G22" s="41">
        <f>$F$9*F22</f>
        <v>0</v>
      </c>
    </row>
    <row r="23" spans="1:8" x14ac:dyDescent="0.2">
      <c r="A23" s="47" t="s">
        <v>32</v>
      </c>
      <c r="B23" s="37"/>
      <c r="C23" s="48">
        <v>0</v>
      </c>
      <c r="G23" s="41" t="s">
        <v>29</v>
      </c>
    </row>
    <row r="24" spans="1:8" x14ac:dyDescent="0.2">
      <c r="A24" s="47" t="s">
        <v>33</v>
      </c>
      <c r="B24" s="37"/>
      <c r="C24" s="49">
        <v>0</v>
      </c>
      <c r="G24" s="41" t="s">
        <v>34</v>
      </c>
    </row>
    <row r="25" spans="1:8" x14ac:dyDescent="0.2">
      <c r="A25" s="24" t="s">
        <v>35</v>
      </c>
      <c r="D25" s="46" t="s">
        <v>27</v>
      </c>
      <c r="E25" s="40">
        <f>C26*C27</f>
        <v>10.200000000000001</v>
      </c>
      <c r="F25" s="40">
        <f>E25</f>
        <v>10.200000000000001</v>
      </c>
      <c r="G25" s="41">
        <f>$F$9*F25</f>
        <v>10.200000000000001</v>
      </c>
    </row>
    <row r="26" spans="1:8" x14ac:dyDescent="0.2">
      <c r="A26" s="47" t="s">
        <v>32</v>
      </c>
      <c r="B26" s="37"/>
      <c r="C26" s="48">
        <v>0.34</v>
      </c>
      <c r="G26" s="41" t="s">
        <v>29</v>
      </c>
    </row>
    <row r="27" spans="1:8" x14ac:dyDescent="0.2">
      <c r="A27" s="47" t="s">
        <v>33</v>
      </c>
      <c r="B27" s="37"/>
      <c r="C27" s="50">
        <v>30</v>
      </c>
      <c r="G27" s="41" t="s">
        <v>29</v>
      </c>
    </row>
    <row r="28" spans="1:8" x14ac:dyDescent="0.2">
      <c r="A28" s="24" t="s">
        <v>36</v>
      </c>
      <c r="D28" s="46" t="s">
        <v>27</v>
      </c>
      <c r="E28" s="42">
        <f>C29*C30</f>
        <v>12.4</v>
      </c>
      <c r="F28" s="40">
        <f>E28</f>
        <v>12.4</v>
      </c>
      <c r="G28" s="41">
        <f>$F$9*F28</f>
        <v>12.4</v>
      </c>
    </row>
    <row r="29" spans="1:8" x14ac:dyDescent="0.2">
      <c r="A29" s="47" t="s">
        <v>32</v>
      </c>
      <c r="B29" s="37"/>
      <c r="C29" s="48">
        <v>0.31</v>
      </c>
      <c r="G29" s="41" t="s">
        <v>29</v>
      </c>
    </row>
    <row r="30" spans="1:8" x14ac:dyDescent="0.2">
      <c r="A30" s="47" t="s">
        <v>33</v>
      </c>
      <c r="B30" s="37"/>
      <c r="C30" s="50">
        <v>40</v>
      </c>
      <c r="F30" s="35" t="s">
        <v>44</v>
      </c>
      <c r="G30" s="35" t="s">
        <v>44</v>
      </c>
    </row>
    <row r="31" spans="1:8" x14ac:dyDescent="0.2">
      <c r="A31" s="25" t="s">
        <v>56</v>
      </c>
      <c r="B31" s="15"/>
      <c r="D31" s="46" t="s">
        <v>27</v>
      </c>
      <c r="E31" s="40">
        <f>E22+E25+E28</f>
        <v>22.6</v>
      </c>
      <c r="F31" s="44">
        <f>F22+F25+F28</f>
        <v>22.6</v>
      </c>
      <c r="G31" s="45">
        <f>$F$9*F31</f>
        <v>22.6</v>
      </c>
    </row>
    <row r="32" spans="1:8" ht="6" customHeight="1" x14ac:dyDescent="0.2">
      <c r="G32" s="41"/>
    </row>
    <row r="33" spans="1:7" x14ac:dyDescent="0.2">
      <c r="A33" s="25" t="s">
        <v>3</v>
      </c>
      <c r="B33" s="15"/>
      <c r="D33" s="40" t="s">
        <v>29</v>
      </c>
      <c r="E33" s="53" t="s">
        <v>29</v>
      </c>
      <c r="F33" s="40" t="s">
        <v>29</v>
      </c>
      <c r="G33" s="41" t="s">
        <v>29</v>
      </c>
    </row>
    <row r="34" spans="1:7" x14ac:dyDescent="0.2">
      <c r="A34" s="24" t="s">
        <v>39</v>
      </c>
      <c r="D34" s="46">
        <f>C35*C36</f>
        <v>7.375</v>
      </c>
      <c r="E34" s="46" t="s">
        <v>27</v>
      </c>
      <c r="F34" s="40">
        <f>D34</f>
        <v>7.375</v>
      </c>
      <c r="G34" s="41">
        <f>$F$9*F34</f>
        <v>7.375</v>
      </c>
    </row>
    <row r="35" spans="1:7" x14ac:dyDescent="0.2">
      <c r="A35" s="47" t="s">
        <v>40</v>
      </c>
      <c r="B35" s="37"/>
      <c r="C35" s="49">
        <v>0.5</v>
      </c>
      <c r="E35" s="53" t="s">
        <v>29</v>
      </c>
      <c r="G35" s="41" t="s">
        <v>29</v>
      </c>
    </row>
    <row r="36" spans="1:7" x14ac:dyDescent="0.2">
      <c r="A36" s="47" t="s">
        <v>41</v>
      </c>
      <c r="B36" s="37"/>
      <c r="C36" s="48">
        <v>14.75</v>
      </c>
      <c r="G36" s="41" t="s">
        <v>29</v>
      </c>
    </row>
    <row r="37" spans="1:7" x14ac:dyDescent="0.2">
      <c r="A37" s="24" t="s">
        <v>42</v>
      </c>
      <c r="C37" s="52"/>
      <c r="D37" s="40">
        <f>C38*C39</f>
        <v>14.75</v>
      </c>
      <c r="E37" s="46" t="s">
        <v>27</v>
      </c>
      <c r="F37" s="40">
        <f>D37</f>
        <v>14.75</v>
      </c>
      <c r="G37" s="41">
        <f>$F$9*F37</f>
        <v>14.75</v>
      </c>
    </row>
    <row r="38" spans="1:7" x14ac:dyDescent="0.2">
      <c r="A38" s="47" t="s">
        <v>40</v>
      </c>
      <c r="B38" s="37"/>
      <c r="C38" s="49">
        <v>1</v>
      </c>
      <c r="G38" s="41" t="s">
        <v>29</v>
      </c>
    </row>
    <row r="39" spans="1:7" x14ac:dyDescent="0.2">
      <c r="A39" s="47" t="s">
        <v>41</v>
      </c>
      <c r="B39" s="37"/>
      <c r="C39" s="48">
        <v>14.75</v>
      </c>
      <c r="E39" s="53" t="s">
        <v>29</v>
      </c>
      <c r="F39" s="35" t="s">
        <v>44</v>
      </c>
      <c r="G39" s="35" t="s">
        <v>44</v>
      </c>
    </row>
    <row r="40" spans="1:7" x14ac:dyDescent="0.2">
      <c r="A40" s="25" t="s">
        <v>38</v>
      </c>
      <c r="B40" s="15"/>
      <c r="D40" s="40">
        <f>D34+D37</f>
        <v>22.125</v>
      </c>
      <c r="E40" s="46" t="s">
        <v>27</v>
      </c>
      <c r="F40" s="44">
        <f>F34+F37</f>
        <v>22.125</v>
      </c>
      <c r="G40" s="45">
        <f>G34+G37</f>
        <v>22.125</v>
      </c>
    </row>
    <row r="41" spans="1:7" ht="6" customHeight="1" x14ac:dyDescent="0.2">
      <c r="A41" s="25"/>
      <c r="B41" s="15"/>
      <c r="G41" s="41" t="s">
        <v>29</v>
      </c>
    </row>
    <row r="42" spans="1:7" x14ac:dyDescent="0.2">
      <c r="A42" s="25" t="s">
        <v>4</v>
      </c>
      <c r="B42" s="15"/>
      <c r="G42" s="41" t="s">
        <v>29</v>
      </c>
    </row>
    <row r="43" spans="1:7" x14ac:dyDescent="0.2">
      <c r="A43" s="24" t="s">
        <v>43</v>
      </c>
      <c r="D43" s="39">
        <v>75</v>
      </c>
      <c r="E43" s="46" t="s">
        <v>27</v>
      </c>
      <c r="F43" s="40">
        <f>D43</f>
        <v>75</v>
      </c>
      <c r="G43" s="41">
        <f>$F$9*F43</f>
        <v>75</v>
      </c>
    </row>
    <row r="44" spans="1:7" ht="6" customHeight="1" x14ac:dyDescent="0.2">
      <c r="F44" s="35" t="s">
        <v>44</v>
      </c>
      <c r="G44" s="35" t="s">
        <v>44</v>
      </c>
    </row>
    <row r="45" spans="1:7" x14ac:dyDescent="0.2">
      <c r="A45" s="25" t="s">
        <v>45</v>
      </c>
      <c r="B45" s="15"/>
      <c r="D45" s="40">
        <f>D18+D40+D43</f>
        <v>105.52500000000001</v>
      </c>
      <c r="E45" s="40">
        <f>E18+E31</f>
        <v>28.400000000000002</v>
      </c>
      <c r="F45" s="44">
        <f>F18+F31+F40+F43</f>
        <v>133.92500000000001</v>
      </c>
      <c r="G45" s="45">
        <f>G18+G31+G40+G43</f>
        <v>133.92500000000001</v>
      </c>
    </row>
    <row r="46" spans="1:7" x14ac:dyDescent="0.2">
      <c r="A46" s="25" t="s">
        <v>46</v>
      </c>
      <c r="B46" s="15"/>
      <c r="D46" s="41">
        <f>$F$9*D45</f>
        <v>105.52500000000001</v>
      </c>
      <c r="E46" s="41">
        <f>$F$9*E45</f>
        <v>28.400000000000002</v>
      </c>
      <c r="F46" s="45">
        <f>$F$9*F45</f>
        <v>133.92500000000001</v>
      </c>
      <c r="G46" s="46" t="s">
        <v>27</v>
      </c>
    </row>
    <row r="47" spans="1:7" x14ac:dyDescent="0.2">
      <c r="A47" s="25"/>
      <c r="B47" s="15"/>
      <c r="D47" s="41"/>
      <c r="E47" s="41"/>
      <c r="F47" s="41"/>
      <c r="G47" s="46"/>
    </row>
    <row r="48" spans="1:7" x14ac:dyDescent="0.2">
      <c r="B48" s="15"/>
      <c r="D48" s="41"/>
      <c r="E48" s="41"/>
      <c r="F48" s="41"/>
      <c r="G48" s="46"/>
    </row>
    <row r="49" spans="1:3" x14ac:dyDescent="0.2">
      <c r="A49" s="24" t="s">
        <v>47</v>
      </c>
      <c r="B49" s="15"/>
      <c r="C49" s="15"/>
    </row>
    <row r="50" spans="1:3" x14ac:dyDescent="0.2">
      <c r="A50" s="17" t="s">
        <v>48</v>
      </c>
    </row>
    <row r="51" spans="1:3" x14ac:dyDescent="0.2">
      <c r="A51" s="19" t="s">
        <v>49</v>
      </c>
    </row>
    <row r="52" spans="1:3" x14ac:dyDescent="0.2">
      <c r="A52" s="54">
        <f ca="1">TODAY()</f>
        <v>44683</v>
      </c>
    </row>
    <row r="53" spans="1:3" x14ac:dyDescent="0.2">
      <c r="A53" s="55" t="s">
        <v>50</v>
      </c>
    </row>
  </sheetData>
  <sheetProtection sheet="1" objects="1" scenarios="1"/>
  <hyperlinks>
    <hyperlink ref="A4" r:id="rId1" display="Crop Production Cost Budgets has more information on the cost and returns for growing a corn crop after a previous crop of corn." xr:uid="{4BF7890C-62CD-4E79-A13A-D04D0247EB86}"/>
    <hyperlink ref="A50" r:id="rId2" xr:uid="{6A389894-BAF7-4CB9-9A60-82EBD0FED8F6}"/>
    <hyperlink ref="A3" r:id="rId3" display="Crop Production Cost Budgets has more information on the cost and returns for growing a corn crop after a previous crop of corn." xr:uid="{B35305E5-3759-4CA0-A945-D2E0A5246948}"/>
  </hyperlinks>
  <pageMargins left="0.75" right="0.75" top="0.75" bottom="0.75" header="0.5" footer="0.5"/>
  <pageSetup scale="89" orientation="portrait" horizontalDpi="300" verticalDpi="300" r:id="rId4"/>
  <headerFooter alignWithMargins="0">
    <oddHeader>&amp;LIowa State University Extension and Outreach&amp;RAg Decision Maker File A1-20</oddHeader>
    <oddFooter>&amp;Lhttp://www.extension.iastate.edu/agdm/crops/xls/a1-20maintpimprovgrleg_tbl9.xlsx</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89EB-7EBE-4C48-ACCA-1628646FDA2B}">
  <sheetPr>
    <pageSetUpPr fitToPage="1"/>
  </sheetPr>
  <dimension ref="A1:I53"/>
  <sheetViews>
    <sheetView showGridLines="0" topLeftCell="A11" workbookViewId="0">
      <selection activeCell="C30" sqref="C30"/>
    </sheetView>
  </sheetViews>
  <sheetFormatPr defaultColWidth="9.140625" defaultRowHeight="12.75" x14ac:dyDescent="0.2"/>
  <cols>
    <col min="1" max="1" width="25.85546875" style="24" customWidth="1"/>
    <col min="2" max="2" width="9.42578125" style="16" customWidth="1"/>
    <col min="3" max="3" width="7.42578125" style="16" customWidth="1"/>
    <col min="4" max="7" width="13.42578125" style="16" customWidth="1"/>
    <col min="8" max="8" width="3.42578125" style="16" customWidth="1"/>
    <col min="9" max="16384" width="9.140625" style="16"/>
  </cols>
  <sheetData>
    <row r="1" spans="1:9" s="13" customFormat="1" ht="26.25" customHeight="1" thickBot="1" x14ac:dyDescent="0.3">
      <c r="A1" s="12" t="s">
        <v>51</v>
      </c>
    </row>
    <row r="2" spans="1:9" ht="15.75" thickTop="1" x14ac:dyDescent="0.25">
      <c r="A2" s="14" t="s">
        <v>8</v>
      </c>
      <c r="B2" s="15"/>
    </row>
    <row r="3" spans="1:9" ht="12.75" customHeight="1" x14ac:dyDescent="0.2">
      <c r="A3" s="17" t="s">
        <v>52</v>
      </c>
      <c r="B3" s="18"/>
      <c r="C3" s="18"/>
      <c r="D3" s="18"/>
      <c r="E3" s="18"/>
      <c r="F3" s="18"/>
      <c r="G3" s="18"/>
      <c r="H3" s="18"/>
      <c r="I3" s="18"/>
    </row>
    <row r="4" spans="1:9" ht="12.75" customHeight="1" x14ac:dyDescent="0.2">
      <c r="A4" s="19" t="s">
        <v>53</v>
      </c>
      <c r="B4" s="1"/>
      <c r="C4" s="1"/>
      <c r="D4" s="1"/>
      <c r="E4" s="1"/>
      <c r="F4" s="1"/>
      <c r="G4" s="1"/>
      <c r="H4" s="18"/>
      <c r="I4" s="18"/>
    </row>
    <row r="5" spans="1:9" x14ac:dyDescent="0.2">
      <c r="A5" s="19" t="s">
        <v>54</v>
      </c>
      <c r="B5" s="1"/>
      <c r="C5" s="1"/>
      <c r="D5" s="1"/>
      <c r="E5" s="1"/>
      <c r="F5" s="1"/>
      <c r="G5" s="1"/>
      <c r="H5" s="18"/>
      <c r="I5" s="18"/>
    </row>
    <row r="6" spans="1:9" x14ac:dyDescent="0.2">
      <c r="A6" s="21" t="s">
        <v>12</v>
      </c>
      <c r="B6" s="22"/>
      <c r="C6" s="23"/>
    </row>
    <row r="7" spans="1:9" ht="9" customHeight="1" x14ac:dyDescent="0.2"/>
    <row r="8" spans="1:9" x14ac:dyDescent="0.2">
      <c r="A8" s="25" t="s">
        <v>1</v>
      </c>
      <c r="E8" s="30"/>
      <c r="G8" s="26"/>
    </row>
    <row r="9" spans="1:9" x14ac:dyDescent="0.2">
      <c r="A9" s="27" t="s">
        <v>13</v>
      </c>
      <c r="B9" s="28"/>
      <c r="C9" s="29"/>
      <c r="E9" s="30" t="s">
        <v>14</v>
      </c>
      <c r="F9" s="31">
        <v>1</v>
      </c>
    </row>
    <row r="10" spans="1:9" ht="9" customHeight="1" x14ac:dyDescent="0.2">
      <c r="A10" s="32"/>
      <c r="B10" s="33"/>
      <c r="C10" s="34"/>
    </row>
    <row r="11" spans="1:9" x14ac:dyDescent="0.2">
      <c r="A11" s="56" t="s">
        <v>29</v>
      </c>
      <c r="B11" s="53"/>
      <c r="E11" s="30" t="s">
        <v>15</v>
      </c>
      <c r="F11" s="15" t="s">
        <v>16</v>
      </c>
      <c r="G11" s="30" t="s">
        <v>17</v>
      </c>
    </row>
    <row r="12" spans="1:9" x14ac:dyDescent="0.2">
      <c r="A12" s="25" t="s">
        <v>18</v>
      </c>
      <c r="D12" s="35" t="s">
        <v>6</v>
      </c>
      <c r="E12" s="35" t="s">
        <v>19</v>
      </c>
      <c r="F12" s="36" t="s">
        <v>5</v>
      </c>
      <c r="G12" s="36" t="s">
        <v>20</v>
      </c>
      <c r="H12" s="37" t="s">
        <v>55</v>
      </c>
    </row>
    <row r="13" spans="1:9" x14ac:dyDescent="0.2">
      <c r="A13" s="38" t="s">
        <v>22</v>
      </c>
      <c r="B13" s="15"/>
      <c r="D13" s="39"/>
      <c r="E13" s="39"/>
      <c r="F13" s="40">
        <f>D13+E13</f>
        <v>0</v>
      </c>
      <c r="G13" s="41">
        <f>$F$9*F13</f>
        <v>0</v>
      </c>
    </row>
    <row r="14" spans="1:9" x14ac:dyDescent="0.2">
      <c r="A14" s="38" t="s">
        <v>24</v>
      </c>
      <c r="D14" s="39"/>
      <c r="E14" s="39"/>
      <c r="F14" s="40">
        <f>D14+E14</f>
        <v>0</v>
      </c>
      <c r="G14" s="41">
        <f>$F$9*F14</f>
        <v>0</v>
      </c>
    </row>
    <row r="15" spans="1:9" x14ac:dyDescent="0.2">
      <c r="A15" s="38" t="s">
        <v>0</v>
      </c>
      <c r="D15" s="39">
        <v>0</v>
      </c>
      <c r="E15" s="39">
        <v>0</v>
      </c>
      <c r="F15" s="40">
        <f>D15+E15</f>
        <v>0</v>
      </c>
      <c r="G15" s="41">
        <f>$F$9*F15</f>
        <v>0</v>
      </c>
    </row>
    <row r="16" spans="1:9" x14ac:dyDescent="0.2">
      <c r="A16" s="38" t="s">
        <v>0</v>
      </c>
      <c r="D16" s="39">
        <v>0</v>
      </c>
      <c r="E16" s="39">
        <v>0</v>
      </c>
      <c r="F16" s="40">
        <f>D16+E16</f>
        <v>0</v>
      </c>
      <c r="G16" s="41">
        <f>$F$9*F16</f>
        <v>0</v>
      </c>
    </row>
    <row r="17" spans="1:8" x14ac:dyDescent="0.2">
      <c r="A17" s="38" t="s">
        <v>0</v>
      </c>
      <c r="D17" s="39">
        <v>0</v>
      </c>
      <c r="E17" s="39">
        <v>0</v>
      </c>
      <c r="F17" s="42">
        <f>D17+E17</f>
        <v>0</v>
      </c>
      <c r="G17" s="42">
        <f>$F$9*F17</f>
        <v>0</v>
      </c>
    </row>
    <row r="18" spans="1:8" x14ac:dyDescent="0.2">
      <c r="A18" s="25" t="s">
        <v>25</v>
      </c>
      <c r="B18" s="15"/>
      <c r="D18" s="40">
        <f>SUM(D13:D17)</f>
        <v>0</v>
      </c>
      <c r="E18" s="40">
        <f>SUM(E13:E17)</f>
        <v>0</v>
      </c>
      <c r="F18" s="44">
        <f>SUM(F13:F17)</f>
        <v>0</v>
      </c>
      <c r="G18" s="45">
        <f>SUM(G13:G17)</f>
        <v>0</v>
      </c>
    </row>
    <row r="19" spans="1:8" x14ac:dyDescent="0.2">
      <c r="A19" s="25" t="s">
        <v>26</v>
      </c>
      <c r="B19" s="15"/>
      <c r="D19" s="41">
        <f>$F$9*D18</f>
        <v>0</v>
      </c>
      <c r="E19" s="41">
        <f>$F$9*E18</f>
        <v>0</v>
      </c>
      <c r="F19" s="45">
        <f>$F$9*F18</f>
        <v>0</v>
      </c>
      <c r="G19" s="46" t="s">
        <v>27</v>
      </c>
    </row>
    <row r="20" spans="1:8" ht="6" customHeight="1" x14ac:dyDescent="0.2">
      <c r="D20" s="41"/>
      <c r="E20" s="41"/>
      <c r="F20" s="41"/>
      <c r="G20" s="41"/>
    </row>
    <row r="21" spans="1:8" x14ac:dyDescent="0.2">
      <c r="A21" s="25" t="s">
        <v>28</v>
      </c>
      <c r="B21" s="15"/>
      <c r="G21" s="41" t="s">
        <v>29</v>
      </c>
      <c r="H21" s="37" t="s">
        <v>30</v>
      </c>
    </row>
    <row r="22" spans="1:8" x14ac:dyDescent="0.2">
      <c r="A22" s="24" t="s">
        <v>31</v>
      </c>
      <c r="D22" s="46" t="s">
        <v>27</v>
      </c>
      <c r="E22" s="40">
        <f>C23*C24</f>
        <v>0</v>
      </c>
      <c r="F22" s="40">
        <f>E22</f>
        <v>0</v>
      </c>
      <c r="G22" s="41">
        <f>$F$9*F22</f>
        <v>0</v>
      </c>
    </row>
    <row r="23" spans="1:8" x14ac:dyDescent="0.2">
      <c r="A23" s="47" t="s">
        <v>32</v>
      </c>
      <c r="B23" s="37"/>
      <c r="C23" s="48">
        <v>0</v>
      </c>
      <c r="G23" s="41" t="s">
        <v>29</v>
      </c>
    </row>
    <row r="24" spans="1:8" x14ac:dyDescent="0.2">
      <c r="A24" s="47" t="s">
        <v>33</v>
      </c>
      <c r="B24" s="37"/>
      <c r="C24" s="49">
        <v>0</v>
      </c>
      <c r="G24" s="41" t="s">
        <v>34</v>
      </c>
    </row>
    <row r="25" spans="1:8" x14ac:dyDescent="0.2">
      <c r="A25" s="24" t="s">
        <v>35</v>
      </c>
      <c r="D25" s="46" t="s">
        <v>27</v>
      </c>
      <c r="E25" s="40">
        <f>C26*C27</f>
        <v>0</v>
      </c>
      <c r="F25" s="40">
        <f>E25</f>
        <v>0</v>
      </c>
      <c r="G25" s="41">
        <f>$F$9*F25</f>
        <v>0</v>
      </c>
    </row>
    <row r="26" spans="1:8" x14ac:dyDescent="0.2">
      <c r="A26" s="47" t="s">
        <v>32</v>
      </c>
      <c r="B26" s="37"/>
      <c r="C26" s="48">
        <v>0.34</v>
      </c>
      <c r="G26" s="41" t="s">
        <v>29</v>
      </c>
    </row>
    <row r="27" spans="1:8" x14ac:dyDescent="0.2">
      <c r="A27" s="47" t="s">
        <v>33</v>
      </c>
      <c r="B27" s="37"/>
      <c r="C27" s="50"/>
      <c r="G27" s="41" t="s">
        <v>29</v>
      </c>
    </row>
    <row r="28" spans="1:8" x14ac:dyDescent="0.2">
      <c r="A28" s="24" t="s">
        <v>36</v>
      </c>
      <c r="D28" s="46" t="s">
        <v>27</v>
      </c>
      <c r="E28" s="42">
        <f>C29*C30</f>
        <v>0</v>
      </c>
      <c r="F28" s="40">
        <f>E28</f>
        <v>0</v>
      </c>
      <c r="G28" s="41">
        <f>$F$9*F28</f>
        <v>0</v>
      </c>
    </row>
    <row r="29" spans="1:8" x14ac:dyDescent="0.2">
      <c r="A29" s="47" t="s">
        <v>32</v>
      </c>
      <c r="B29" s="37"/>
      <c r="C29" s="48">
        <v>0.31</v>
      </c>
      <c r="G29" s="41" t="s">
        <v>29</v>
      </c>
    </row>
    <row r="30" spans="1:8" x14ac:dyDescent="0.2">
      <c r="A30" s="47" t="s">
        <v>33</v>
      </c>
      <c r="B30" s="37"/>
      <c r="C30" s="50"/>
      <c r="F30" s="35" t="s">
        <v>44</v>
      </c>
      <c r="G30" s="35" t="s">
        <v>44</v>
      </c>
    </row>
    <row r="31" spans="1:8" x14ac:dyDescent="0.2">
      <c r="A31" s="25" t="s">
        <v>56</v>
      </c>
      <c r="B31" s="15"/>
      <c r="D31" s="46" t="s">
        <v>27</v>
      </c>
      <c r="E31" s="40">
        <f>E22+E25+E28</f>
        <v>0</v>
      </c>
      <c r="F31" s="44">
        <f>F22+F25+F28</f>
        <v>0</v>
      </c>
      <c r="G31" s="45">
        <f>$F$9*F31</f>
        <v>0</v>
      </c>
    </row>
    <row r="32" spans="1:8" ht="6" customHeight="1" x14ac:dyDescent="0.2">
      <c r="G32" s="41"/>
    </row>
    <row r="33" spans="1:7" x14ac:dyDescent="0.2">
      <c r="A33" s="25" t="s">
        <v>3</v>
      </c>
      <c r="B33" s="15"/>
      <c r="D33" s="40" t="s">
        <v>29</v>
      </c>
      <c r="E33" s="53" t="s">
        <v>29</v>
      </c>
      <c r="F33" s="40" t="s">
        <v>29</v>
      </c>
      <c r="G33" s="41" t="s">
        <v>29</v>
      </c>
    </row>
    <row r="34" spans="1:7" x14ac:dyDescent="0.2">
      <c r="A34" s="24" t="s">
        <v>39</v>
      </c>
      <c r="D34" s="46">
        <f>C35*C36</f>
        <v>7.375</v>
      </c>
      <c r="E34" s="46" t="s">
        <v>27</v>
      </c>
      <c r="F34" s="40">
        <f>D34</f>
        <v>7.375</v>
      </c>
      <c r="G34" s="41">
        <f>$F$9*F34</f>
        <v>7.375</v>
      </c>
    </row>
    <row r="35" spans="1:7" x14ac:dyDescent="0.2">
      <c r="A35" s="47" t="s">
        <v>40</v>
      </c>
      <c r="B35" s="37"/>
      <c r="C35" s="49">
        <v>0.5</v>
      </c>
      <c r="E35" s="53" t="s">
        <v>29</v>
      </c>
      <c r="G35" s="41" t="s">
        <v>29</v>
      </c>
    </row>
    <row r="36" spans="1:7" x14ac:dyDescent="0.2">
      <c r="A36" s="47" t="s">
        <v>41</v>
      </c>
      <c r="B36" s="37"/>
      <c r="C36" s="48">
        <v>14.75</v>
      </c>
      <c r="G36" s="41" t="s">
        <v>29</v>
      </c>
    </row>
    <row r="37" spans="1:7" x14ac:dyDescent="0.2">
      <c r="A37" s="24" t="s">
        <v>42</v>
      </c>
      <c r="C37" s="52"/>
      <c r="D37" s="40">
        <f>C38*C39</f>
        <v>14.75</v>
      </c>
      <c r="E37" s="46" t="s">
        <v>27</v>
      </c>
      <c r="F37" s="40">
        <f>D37</f>
        <v>14.75</v>
      </c>
      <c r="G37" s="41">
        <f>$F$9*F37</f>
        <v>14.75</v>
      </c>
    </row>
    <row r="38" spans="1:7" x14ac:dyDescent="0.2">
      <c r="A38" s="47" t="s">
        <v>40</v>
      </c>
      <c r="B38" s="37"/>
      <c r="C38" s="49">
        <v>1</v>
      </c>
      <c r="G38" s="41" t="s">
        <v>29</v>
      </c>
    </row>
    <row r="39" spans="1:7" x14ac:dyDescent="0.2">
      <c r="A39" s="47" t="s">
        <v>41</v>
      </c>
      <c r="B39" s="37"/>
      <c r="C39" s="48">
        <v>14.75</v>
      </c>
      <c r="E39" s="53" t="s">
        <v>29</v>
      </c>
      <c r="F39" s="35" t="s">
        <v>44</v>
      </c>
      <c r="G39" s="35" t="s">
        <v>44</v>
      </c>
    </row>
    <row r="40" spans="1:7" x14ac:dyDescent="0.2">
      <c r="A40" s="25" t="s">
        <v>38</v>
      </c>
      <c r="B40" s="15"/>
      <c r="D40" s="40">
        <f>D34+D37</f>
        <v>22.125</v>
      </c>
      <c r="E40" s="46" t="s">
        <v>27</v>
      </c>
      <c r="F40" s="44">
        <f>F34+F37</f>
        <v>22.125</v>
      </c>
      <c r="G40" s="45">
        <f>G34+G37</f>
        <v>22.125</v>
      </c>
    </row>
    <row r="41" spans="1:7" ht="6" customHeight="1" x14ac:dyDescent="0.2">
      <c r="A41" s="25"/>
      <c r="B41" s="15"/>
      <c r="G41" s="41" t="s">
        <v>29</v>
      </c>
    </row>
    <row r="42" spans="1:7" x14ac:dyDescent="0.2">
      <c r="A42" s="25" t="s">
        <v>4</v>
      </c>
      <c r="B42" s="15"/>
      <c r="G42" s="41" t="s">
        <v>29</v>
      </c>
    </row>
    <row r="43" spans="1:7" x14ac:dyDescent="0.2">
      <c r="A43" s="24" t="s">
        <v>43</v>
      </c>
      <c r="D43" s="39">
        <v>75</v>
      </c>
      <c r="E43" s="46" t="s">
        <v>27</v>
      </c>
      <c r="F43" s="40">
        <f>D43</f>
        <v>75</v>
      </c>
      <c r="G43" s="41">
        <f>$F$9*F43</f>
        <v>75</v>
      </c>
    </row>
    <row r="44" spans="1:7" ht="6" customHeight="1" x14ac:dyDescent="0.2">
      <c r="F44" s="35" t="s">
        <v>44</v>
      </c>
      <c r="G44" s="35" t="s">
        <v>44</v>
      </c>
    </row>
    <row r="45" spans="1:7" x14ac:dyDescent="0.2">
      <c r="A45" s="25" t="s">
        <v>45</v>
      </c>
      <c r="B45" s="15"/>
      <c r="D45" s="40">
        <f>D18+D40+D43</f>
        <v>97.125</v>
      </c>
      <c r="E45" s="40">
        <f>E18+E31</f>
        <v>0</v>
      </c>
      <c r="F45" s="44">
        <f>F18+F31+F40+F43</f>
        <v>97.125</v>
      </c>
      <c r="G45" s="45">
        <f>G18+G31+G40+G43</f>
        <v>97.125</v>
      </c>
    </row>
    <row r="46" spans="1:7" x14ac:dyDescent="0.2">
      <c r="A46" s="25" t="s">
        <v>46</v>
      </c>
      <c r="B46" s="15"/>
      <c r="D46" s="41">
        <f>$F$9*D45</f>
        <v>97.125</v>
      </c>
      <c r="E46" s="41">
        <f>$F$9*E45</f>
        <v>0</v>
      </c>
      <c r="F46" s="45">
        <f>$F$9*F45</f>
        <v>97.125</v>
      </c>
      <c r="G46" s="46" t="s">
        <v>27</v>
      </c>
    </row>
    <row r="47" spans="1:7" x14ac:dyDescent="0.2">
      <c r="A47" s="25"/>
      <c r="B47" s="15"/>
      <c r="D47" s="41"/>
      <c r="E47" s="41"/>
      <c r="F47" s="41"/>
      <c r="G47" s="46"/>
    </row>
    <row r="48" spans="1:7" x14ac:dyDescent="0.2">
      <c r="B48" s="15"/>
      <c r="D48" s="41"/>
      <c r="E48" s="41"/>
      <c r="F48" s="41"/>
      <c r="G48" s="46"/>
    </row>
    <row r="49" spans="1:3" x14ac:dyDescent="0.2">
      <c r="A49" s="24" t="s">
        <v>47</v>
      </c>
      <c r="B49" s="15"/>
      <c r="C49" s="15"/>
    </row>
    <row r="50" spans="1:3" x14ac:dyDescent="0.2">
      <c r="A50" s="17" t="s">
        <v>48</v>
      </c>
    </row>
    <row r="51" spans="1:3" x14ac:dyDescent="0.2">
      <c r="A51" s="19" t="s">
        <v>49</v>
      </c>
    </row>
    <row r="52" spans="1:3" x14ac:dyDescent="0.2">
      <c r="A52" s="54">
        <f ca="1">TODAY()</f>
        <v>44683</v>
      </c>
    </row>
    <row r="53" spans="1:3" x14ac:dyDescent="0.2">
      <c r="A53" s="55" t="s">
        <v>50</v>
      </c>
    </row>
  </sheetData>
  <sheetProtection sheet="1" objects="1" scenarios="1"/>
  <hyperlinks>
    <hyperlink ref="A4" r:id="rId1" display="Crop Production Cost Budgets has more information on the cost and returns for growing a corn crop after a previous crop of corn." xr:uid="{D6728414-DAE9-4FC9-AE64-D720362788E5}"/>
    <hyperlink ref="A50" r:id="rId2" xr:uid="{F81CC0D9-7C20-479B-9806-5D1C1DF09EA2}"/>
    <hyperlink ref="A3" r:id="rId3" display="Crop Production Cost Budgets has more information on the cost and returns for growing a corn crop after a previous crop of corn." xr:uid="{17F76F7C-CBBE-43FA-BE61-C70271CD0CD9}"/>
  </hyperlinks>
  <pageMargins left="0.75" right="0.75" top="0.75" bottom="0.75" header="0.5" footer="0.5"/>
  <pageSetup scale="89" orientation="portrait" horizontalDpi="300" verticalDpi="300" r:id="rId4"/>
  <headerFooter alignWithMargins="0">
    <oddHeader>&amp;LIowa State University Extension and Outreach&amp;RAg Decision Maker File A1-20</oddHeader>
    <oddFooter>&amp;Lhttp://www.extension.iastate.edu/agdm/crops/xls/a1-20maintpimprovgrleg_tbl9.xlsx</oddFooter>
  </headerFooter>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DF82B10579874C927E8C826E5F58C9" ma:contentTypeVersion="13" ma:contentTypeDescription="Create a new document." ma:contentTypeScope="" ma:versionID="68b5b23aa45d38b6ba9526c3dd1700fe">
  <xsd:schema xmlns:xsd="http://www.w3.org/2001/XMLSchema" xmlns:xs="http://www.w3.org/2001/XMLSchema" xmlns:p="http://schemas.microsoft.com/office/2006/metadata/properties" xmlns:ns3="00d7cebf-26da-42d9-a093-5a00f38d5a20" xmlns:ns4="9f576f56-3e88-4cf4-8d71-fddb132649bc" targetNamespace="http://schemas.microsoft.com/office/2006/metadata/properties" ma:root="true" ma:fieldsID="982e024285cc78af2f36ef5e2be3a0c3" ns3:_="" ns4:_="">
    <xsd:import namespace="00d7cebf-26da-42d9-a093-5a00f38d5a20"/>
    <xsd:import namespace="9f576f56-3e88-4cf4-8d71-fddb132649b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7cebf-26da-42d9-a093-5a00f38d5a2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576f56-3e88-4cf4-8d71-fddb132649b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7ADC5C-2B95-45AD-AA2E-73932DEE7B5B}">
  <ds:schemaRefs>
    <ds:schemaRef ds:uri="http://schemas.microsoft.com/sharepoint/v3/contenttype/forms"/>
  </ds:schemaRefs>
</ds:datastoreItem>
</file>

<file path=customXml/itemProps2.xml><?xml version="1.0" encoding="utf-8"?>
<ds:datastoreItem xmlns:ds="http://schemas.openxmlformats.org/officeDocument/2006/customXml" ds:itemID="{9F8A7E5B-6920-4854-8716-557B1F5601C6}">
  <ds:schemaRefs>
    <ds:schemaRef ds:uri="http://purl.org/dc/elements/1.1/"/>
    <ds:schemaRef ds:uri="9f576f56-3e88-4cf4-8d71-fddb132649bc"/>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 ds:uri="00d7cebf-26da-42d9-a093-5a00f38d5a20"/>
  </ds:schemaRefs>
</ds:datastoreItem>
</file>

<file path=customXml/itemProps3.xml><?xml version="1.0" encoding="utf-8"?>
<ds:datastoreItem xmlns:ds="http://schemas.openxmlformats.org/officeDocument/2006/customXml" ds:itemID="{E35C4ABB-135C-467E-935A-4B8066BFA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7cebf-26da-42d9-a093-5a00f38d5a20"/>
    <ds:schemaRef ds:uri="9f576f56-3e88-4cf4-8d71-fddb13264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Pasture</vt:lpstr>
      <vt:lpstr>Pasture-Grass</vt:lpstr>
      <vt:lpstr>Pasture-Grass-Leg</vt:lpstr>
      <vt:lpstr>Pasture-Legume</vt:lpstr>
      <vt:lpstr>'Pasture-Grass'!Print_Area</vt:lpstr>
      <vt:lpstr>'Pasture-Grass-Leg'!Print_Area</vt:lpstr>
      <vt:lpstr>'Pasture-Legume'!Print_Area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Winsten, Jon</dc:creator>
  <cp:lastModifiedBy>Spratt, Elisabeth</cp:lastModifiedBy>
  <dcterms:created xsi:type="dcterms:W3CDTF">2020-05-12T19:48:09Z</dcterms:created>
  <dcterms:modified xsi:type="dcterms:W3CDTF">2022-05-02T14:10:28Z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0x0101008DDF82B10579874C927E8C826E5F58C9</vt:lpwstr>
  </property>
  <property fmtid="{D5CDD505-2E9C-101B-9397-08002B2CF9AE}" pid="3" name="MSIP_Label_65bd367d-9e3b-49e5-aa9a-caafdafee3aa_Enabled">
    <vt:lpwstr>true</vt:lpwstr>
  </property>
  <property fmtid="{D5CDD505-2E9C-101B-9397-08002B2CF9AE}" pid="4" name="MSIP_Label_65bd367d-9e3b-49e5-aa9a-caafdafee3aa_SetDate">
    <vt:lpwstr>2021-11-08T14:46:51Z</vt:lpwstr>
  </property>
  <property fmtid="{D5CDD505-2E9C-101B-9397-08002B2CF9AE}" pid="5" name="MSIP_Label_65bd367d-9e3b-49e5-aa9a-caafdafee3aa_Method">
    <vt:lpwstr>Standard</vt:lpwstr>
  </property>
  <property fmtid="{D5CDD505-2E9C-101B-9397-08002B2CF9AE}" pid="6" name="MSIP_Label_65bd367d-9e3b-49e5-aa9a-caafdafee3aa_Name">
    <vt:lpwstr>65bd367d-9e3b-49e5-aa9a-caafdafee3aa</vt:lpwstr>
  </property>
  <property fmtid="{D5CDD505-2E9C-101B-9397-08002B2CF9AE}" pid="7" name="MSIP_Label_65bd367d-9e3b-49e5-aa9a-caafdafee3aa_SiteId">
    <vt:lpwstr>9be3e276-28d8-4cd8-8f84-02cf1911da9c</vt:lpwstr>
  </property>
  <property fmtid="{D5CDD505-2E9C-101B-9397-08002B2CF9AE}" pid="8" name="MSIP_Label_65bd367d-9e3b-49e5-aa9a-caafdafee3aa_ActionId">
    <vt:lpwstr>7fee1604-ec0f-4d92-84e7-e800724a6e03</vt:lpwstr>
  </property>
  <property fmtid="{D5CDD505-2E9C-101B-9397-08002B2CF9AE}" pid="9" name="MSIP_Label_65bd367d-9e3b-49e5-aa9a-caafdafee3aa_ContentBits">
    <vt:lpwstr>0</vt:lpwstr>
  </property>
</Properties>
</file>